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<sst xmlns="http://schemas.openxmlformats.org/spreadsheetml/2006/main" count="1191" uniqueCount="558">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</sst>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57" fillId="4" borderId="79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80" xfId="0" applyFont="1" applyBorder="1" applyAlignment="1">
      <alignment horizontal="center"/>
    </xf>
    <xf numFmtId="0" fontId="57" fillId="0" borderId="81" xfId="0" applyFont="1" applyBorder="1" applyAlignment="1">
      <alignment horizontal="center"/>
    </xf>
    <xf numFmtId="0" fontId="57" fillId="0" borderId="82" xfId="0" applyFont="1" applyBorder="1" applyAlignment="1">
      <alignment horizontal="center"/>
    </xf>
    <xf numFmtId="0" fontId="23" fillId="4" borderId="83" xfId="0" applyFont="1" applyFill="1" applyBorder="1" applyAlignment="1" applyProtection="1">
      <alignment horizontal="center"/>
      <protection/>
    </xf>
    <xf numFmtId="0" fontId="0" fillId="4" borderId="84" xfId="0" applyFill="1" applyBorder="1" applyAlignment="1" applyProtection="1">
      <alignment horizontal="center"/>
      <protection/>
    </xf>
    <xf numFmtId="0" fontId="0" fillId="4" borderId="85" xfId="0" applyFill="1" applyBorder="1" applyAlignment="1" applyProtection="1">
      <alignment horizont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4" xfId="0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87" xfId="0" applyBorder="1" applyAlignment="1" applyProtection="1">
      <alignment horizontal="left" vertical="center"/>
      <protection/>
    </xf>
    <xf numFmtId="0" fontId="0" fillId="4" borderId="86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0" fillId="0" borderId="90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26" fillId="24" borderId="91" xfId="0" applyFont="1" applyFill="1" applyBorder="1" applyAlignment="1" applyProtection="1">
      <alignment horizontal="left" vertical="center"/>
      <protection/>
    </xf>
    <xf numFmtId="0" fontId="0" fillId="0" borderId="92" xfId="0" applyBorder="1" applyAlignment="1" applyProtection="1">
      <alignment horizontal="left" vertical="center"/>
      <protection/>
    </xf>
    <xf numFmtId="0" fontId="0" fillId="0" borderId="93" xfId="0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31" fillId="24" borderId="92" xfId="0" applyFont="1" applyFill="1" applyBorder="1" applyAlignment="1" applyProtection="1">
      <alignment horizontal="left" vertical="center" wrapText="1"/>
      <protection/>
    </xf>
    <xf numFmtId="0" fontId="31" fillId="24" borderId="92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31" fillId="24" borderId="95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31" fillId="24" borderId="95" xfId="0" applyFont="1" applyFill="1" applyBorder="1" applyAlignment="1" applyProtection="1">
      <alignment horizontal="left" vertical="center" wrapText="1"/>
      <protection/>
    </xf>
    <xf numFmtId="0" fontId="0" fillId="0" borderId="96" xfId="0" applyBorder="1" applyAlignment="1" applyProtection="1">
      <alignment horizontal="left" vertical="center"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6" fillId="24" borderId="92" xfId="0" applyFont="1" applyFill="1" applyBorder="1" applyAlignment="1" applyProtection="1">
      <alignment horizontal="left" vertical="center"/>
      <protection/>
    </xf>
    <xf numFmtId="0" fontId="21" fillId="4" borderId="98" xfId="0" applyFont="1" applyFill="1" applyBorder="1" applyAlignment="1" applyProtection="1">
      <alignment horizontal="left" vertical="center" wrapText="1"/>
      <protection/>
    </xf>
    <xf numFmtId="0" fontId="22" fillId="4" borderId="84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95" xfId="0" applyFont="1" applyFill="1" applyBorder="1" applyAlignment="1" applyProtection="1">
      <alignment horizontal="left" vertical="center" wrapText="1"/>
      <protection/>
    </xf>
    <xf numFmtId="0" fontId="0" fillId="0" borderId="97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23503.03618711386</c:v>
                </c:pt>
                <c:pt idx="1">
                  <c:v>46321.51792217578</c:v>
                </c:pt>
                <c:pt idx="2">
                  <c:v>68475.38368437192</c:v>
                </c:pt>
                <c:pt idx="3">
                  <c:v>89983.99122048456</c:v>
                </c:pt>
                <c:pt idx="4">
                  <c:v>110866.13445942893</c:v>
                </c:pt>
                <c:pt idx="5">
                  <c:v>131140.05993413224</c:v>
                </c:pt>
                <c:pt idx="6">
                  <c:v>150823.48272510635</c:v>
                </c:pt>
                <c:pt idx="7">
                  <c:v>169933.6019396442</c:v>
                </c:pt>
                <c:pt idx="8">
                  <c:v>188487.11574016648</c:v>
                </c:pt>
                <c:pt idx="9">
                  <c:v>206500.23593484826</c:v>
                </c:pt>
                <c:pt idx="10">
                  <c:v>223988.70214327722</c:v>
                </c:pt>
                <c:pt idx="11">
                  <c:v>240967.79554951884</c:v>
                </c:pt>
                <c:pt idx="12">
                  <c:v>257452.35225460783</c:v>
                </c:pt>
                <c:pt idx="13">
                  <c:v>273456.7762401312</c:v>
                </c:pt>
                <c:pt idx="14">
                  <c:v>288995.0519542315</c:v>
                </c:pt>
                <c:pt idx="15">
                  <c:v>304080.75653102784</c:v>
                </c:pt>
                <c:pt idx="16">
                  <c:v>318727.07165413117</c:v>
                </c:pt>
                <c:pt idx="17">
                  <c:v>332946.7950746198</c:v>
                </c:pt>
                <c:pt idx="18">
                  <c:v>346752.3517935409</c:v>
                </c:pt>
                <c:pt idx="19">
                  <c:v>360155.80491870694</c:v>
                </c:pt>
                <c:pt idx="20">
                  <c:v>373168.86620527576</c:v>
                </c:pt>
                <c:pt idx="21">
                  <c:v>385802.9062893234</c:v>
                </c:pt>
                <c:pt idx="22">
                  <c:v>398068.9646233502</c:v>
                </c:pt>
                <c:pt idx="23">
                  <c:v>409977.7591224052</c:v>
                </c:pt>
                <c:pt idx="24">
                  <c:v>421539.6955292548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104726.6949094425</c:v>
                </c:pt>
                <c:pt idx="1">
                  <c:v>123878.8258894837</c:v>
                </c:pt>
                <c:pt idx="2">
                  <c:v>142473.1278118539</c:v>
                </c:pt>
                <c:pt idx="3">
                  <c:v>160525.84812483456</c:v>
                </c:pt>
                <c:pt idx="4">
                  <c:v>178052.76105005853</c:v>
                </c:pt>
                <c:pt idx="5">
                  <c:v>195069.18136581004</c:v>
                </c:pt>
                <c:pt idx="6">
                  <c:v>211589.97778886976</c:v>
                </c:pt>
                <c:pt idx="7">
                  <c:v>227629.58596659751</c:v>
                </c:pt>
                <c:pt idx="8">
                  <c:v>243202.02109060515</c:v>
                </c:pt>
                <c:pt idx="9">
                  <c:v>258320.8901430397</c:v>
                </c:pt>
                <c:pt idx="10">
                  <c:v>272999.4037861801</c:v>
                </c:pt>
                <c:pt idx="11">
                  <c:v>287250.3879057338</c:v>
                </c:pt>
                <c:pt idx="12">
                  <c:v>359835.37167583324</c:v>
                </c:pt>
                <c:pt idx="13">
                  <c:v>373268.2910080548</c:v>
                </c:pt>
                <c:pt idx="14">
                  <c:v>386309.96026263875</c:v>
                </c:pt>
                <c:pt idx="15">
                  <c:v>398971.7750729143</c:v>
                </c:pt>
                <c:pt idx="16">
                  <c:v>411264.79916056065</c:v>
                </c:pt>
                <c:pt idx="17">
                  <c:v>423199.7740029357</c:v>
                </c:pt>
                <c:pt idx="18">
                  <c:v>434787.12821883376</c:v>
                </c:pt>
                <c:pt idx="19">
                  <c:v>446036.98668087076</c:v>
                </c:pt>
                <c:pt idx="20">
                  <c:v>456959.17936246</c:v>
                </c:pt>
                <c:pt idx="21">
                  <c:v>467563.24992710986</c:v>
                </c:pt>
                <c:pt idx="22">
                  <c:v>477858.4640675466</c:v>
                </c:pt>
                <c:pt idx="23">
                  <c:v>487853.8176019511</c:v>
                </c:pt>
                <c:pt idx="24">
                  <c:v>497558.0443343827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23138.22180783513</c:v>
                </c:pt>
                <c:pt idx="1">
                  <c:v>45602.51482515071</c:v>
                </c:pt>
                <c:pt idx="2">
                  <c:v>67412.50804584555</c:v>
                </c:pt>
                <c:pt idx="3">
                  <c:v>88587.25874554917</c:v>
                </c:pt>
                <c:pt idx="4">
                  <c:v>109145.26913361099</c:v>
                </c:pt>
                <c:pt idx="5">
                  <c:v>129104.5025200788</c:v>
                </c:pt>
                <c:pt idx="6">
                  <c:v>148482.39901179515</c:v>
                </c:pt>
                <c:pt idx="7">
                  <c:v>167295.89075132547</c:v>
                </c:pt>
                <c:pt idx="8">
                  <c:v>185561.4167120346</c:v>
                </c:pt>
                <c:pt idx="9">
                  <c:v>203294.93706223764</c:v>
                </c:pt>
                <c:pt idx="10">
                  <c:v>220511.94711097848</c:v>
                </c:pt>
                <c:pt idx="11">
                  <c:v>237227.49084761998</c:v>
                </c:pt>
                <c:pt idx="12">
                  <c:v>253456.17408707776</c:v>
                </c:pt>
                <c:pt idx="13">
                  <c:v>269212.1772321825</c:v>
                </c:pt>
                <c:pt idx="14">
                  <c:v>284509.267664323</c:v>
                </c:pt>
                <c:pt idx="15">
                  <c:v>299360.81177319714</c:v>
                </c:pt>
                <c:pt idx="16">
                  <c:v>313779.7866361819</c:v>
                </c:pt>
                <c:pt idx="17">
                  <c:v>327778.79135752626</c:v>
                </c:pt>
                <c:pt idx="18">
                  <c:v>341370.0580772781</c:v>
                </c:pt>
                <c:pt idx="19">
                  <c:v>354565.46265956137</c:v>
                </c:pt>
                <c:pt idx="20">
                  <c:v>367376.5350695451</c:v>
                </c:pt>
                <c:pt idx="21">
                  <c:v>379814.4694481702</c:v>
                </c:pt>
                <c:pt idx="22">
                  <c:v>391890.13389343733</c:v>
                </c:pt>
                <c:pt idx="23">
                  <c:v>403614.0799568033</c:v>
                </c:pt>
                <c:pt idx="24">
                  <c:v>414996.5518629839</c:v>
                </c:pt>
              </c:numCache>
            </c:numRef>
          </c:yVal>
          <c:smooth val="0"/>
        </c:ser>
        <c:axId val="49670922"/>
        <c:axId val="44385115"/>
      </c:scatterChart>
      <c:valAx>
        <c:axId val="49670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85115"/>
        <c:crosses val="autoZero"/>
        <c:crossBetween val="midCat"/>
        <c:dispUnits/>
      </c:valAx>
      <c:valAx>
        <c:axId val="4438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09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25"/>
          <c:w val="0.800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6.529606</c:v>
                </c:pt>
                <c:pt idx="1">
                  <c:v>5.8983076</c:v>
                </c:pt>
                <c:pt idx="2">
                  <c:v>5.8983076</c:v>
                </c:pt>
                <c:pt idx="3">
                  <c:v>0.6993796</c:v>
                </c:pt>
                <c:pt idx="4">
                  <c:v>0.8943393999999998</c:v>
                </c:pt>
                <c:pt idx="5">
                  <c:v>0.7984067999999999</c:v>
                </c:pt>
                <c:pt idx="6">
                  <c:v>0</c:v>
                </c:pt>
                <c:pt idx="7">
                  <c:v>0.8012282182668572</c:v>
                </c:pt>
                <c:pt idx="8">
                  <c:v>1.5781767935559308</c:v>
                </c:pt>
                <c:pt idx="9">
                  <c:v>0</c:v>
                </c:pt>
                <c:pt idx="10">
                  <c:v>-2.1958043760000003</c:v>
                </c:pt>
                <c:pt idx="11">
                  <c:v>-2.1958043760000003</c:v>
                </c:pt>
                <c:pt idx="12">
                  <c:v>0</c:v>
                </c:pt>
                <c:pt idx="13">
                  <c:v>-3.3822360000000007</c:v>
                </c:pt>
                <c:pt idx="14">
                  <c:v>-3.3822360000000007</c:v>
                </c:pt>
                <c:pt idx="15">
                  <c:v>7.228985600000001</c:v>
                </c:pt>
                <c:pt idx="16">
                  <c:v>2.0158348422668553</c:v>
                </c:pt>
                <c:pt idx="17">
                  <c:v>2.69685081755593</c:v>
                </c:pt>
              </c:numCache>
            </c:numRef>
          </c:val>
        </c:ser>
        <c:axId val="63921716"/>
        <c:axId val="38424533"/>
      </c:bar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8424533"/>
        <c:crosses val="autoZero"/>
        <c:auto val="1"/>
        <c:lblOffset val="100"/>
        <c:tickLblSkip val="1"/>
        <c:noMultiLvlLbl val="0"/>
      </c:catAx>
      <c:valAx>
        <c:axId val="3842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21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19725"/>
          <c:w val="0.140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10276478"/>
        <c:axId val="25379439"/>
      </c:scatterChart>
      <c:valAx>
        <c:axId val="1027647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79439"/>
        <c:crosses val="autoZero"/>
        <c:crossBetween val="midCat"/>
        <c:dispUnits/>
      </c:valAx>
      <c:valAx>
        <c:axId val="25379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64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27088360"/>
        <c:axId val="42468649"/>
      </c:scatterChart>
      <c:valAx>
        <c:axId val="27088360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8649"/>
        <c:crosses val="autoZero"/>
        <c:crossBetween val="midCat"/>
        <c:dispUnits/>
      </c:valAx>
      <c:valAx>
        <c:axId val="4246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83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 zoomScale="115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0.18975</cdr:y>
    </cdr:from>
    <cdr:to>
      <cdr:x>0.19075</cdr:x>
      <cdr:y>0.24175</cdr:y>
    </cdr:to>
    <cdr:sp>
      <cdr:nvSpPr>
        <cdr:cNvPr id="1" name="WordArt 1"/>
        <cdr:cNvSpPr>
          <a:spLocks/>
        </cdr:cNvSpPr>
      </cdr:nvSpPr>
      <cdr:spPr>
        <a:xfrm>
          <a:off x="1066800" y="1085850"/>
          <a:ext cx="69532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0.60425</cdr:x>
      <cdr:y>0.18975</cdr:y>
    </cdr:from>
    <cdr:to>
      <cdr:x>0.67925</cdr:x>
      <cdr:y>0.24175</cdr:y>
    </cdr:to>
    <cdr:sp>
      <cdr:nvSpPr>
        <cdr:cNvPr id="2" name="WordArt 6"/>
        <cdr:cNvSpPr>
          <a:spLocks/>
        </cdr:cNvSpPr>
      </cdr:nvSpPr>
      <cdr:spPr>
        <a:xfrm>
          <a:off x="5562600" y="1085850"/>
          <a:ext cx="69532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0.4805</cdr:x>
      <cdr:y>0.18975</cdr:y>
    </cdr:from>
    <cdr:to>
      <cdr:x>0.5555</cdr:x>
      <cdr:y>0.24175</cdr:y>
    </cdr:to>
    <cdr:sp>
      <cdr:nvSpPr>
        <cdr:cNvPr id="3" name="WordArt 7"/>
        <cdr:cNvSpPr>
          <a:spLocks/>
        </cdr:cNvSpPr>
      </cdr:nvSpPr>
      <cdr:spPr>
        <a:xfrm>
          <a:off x="4429125" y="1085850"/>
          <a:ext cx="69532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0.3645</cdr:x>
      <cdr:y>0.18975</cdr:y>
    </cdr:from>
    <cdr:to>
      <cdr:x>0.43875</cdr:x>
      <cdr:y>0.24175</cdr:y>
    </cdr:to>
    <cdr:sp>
      <cdr:nvSpPr>
        <cdr:cNvPr id="4" name="WordArt 8"/>
        <cdr:cNvSpPr>
          <a:spLocks/>
        </cdr:cNvSpPr>
      </cdr:nvSpPr>
      <cdr:spPr>
        <a:xfrm>
          <a:off x="33528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0.23775</cdr:x>
      <cdr:y>0.18975</cdr:y>
    </cdr:from>
    <cdr:to>
      <cdr:x>0.31375</cdr:x>
      <cdr:y>0.24175</cdr:y>
    </cdr:to>
    <cdr:sp>
      <cdr:nvSpPr>
        <cdr:cNvPr id="5" name="WordArt 9"/>
        <cdr:cNvSpPr>
          <a:spLocks/>
        </cdr:cNvSpPr>
      </cdr:nvSpPr>
      <cdr:spPr>
        <a:xfrm>
          <a:off x="21907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0.73775</cdr:x>
      <cdr:y>0.18975</cdr:y>
    </cdr:from>
    <cdr:to>
      <cdr:x>0.81275</cdr:x>
      <cdr:y>0.2125</cdr:y>
    </cdr:to>
    <cdr:sp>
      <cdr:nvSpPr>
        <cdr:cNvPr id="6" name="WordArt 10"/>
        <cdr:cNvSpPr>
          <a:spLocks/>
        </cdr:cNvSpPr>
      </cdr:nvSpPr>
      <cdr:spPr>
        <a:xfrm>
          <a:off x="6800850" y="1085850"/>
          <a:ext cx="695325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10">
      <selection activeCell="F46" sqref="F46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84" t="s">
        <v>468</v>
      </c>
      <c r="B1" s="585"/>
      <c r="C1" s="586"/>
      <c r="D1" s="538" t="s">
        <v>285</v>
      </c>
      <c r="E1" s="544"/>
      <c r="F1" s="545"/>
      <c r="G1" s="538" t="s">
        <v>307</v>
      </c>
      <c r="H1" s="539"/>
      <c r="I1" s="548"/>
      <c r="J1" s="538" t="s">
        <v>308</v>
      </c>
      <c r="K1" s="539"/>
      <c r="L1" s="540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87"/>
      <c r="B2" s="588"/>
      <c r="C2" s="589"/>
      <c r="D2" s="541" t="s">
        <v>474</v>
      </c>
      <c r="E2" s="542"/>
      <c r="F2" s="576"/>
      <c r="G2" s="541" t="s">
        <v>475</v>
      </c>
      <c r="H2" s="542"/>
      <c r="I2" s="576"/>
      <c r="J2" s="541" t="s">
        <v>476</v>
      </c>
      <c r="K2" s="542"/>
      <c r="L2" s="543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90"/>
      <c r="B3" s="591"/>
      <c r="C3" s="592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67" t="s">
        <v>286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9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93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3000</v>
      </c>
      <c r="G5" s="450" t="s">
        <v>391</v>
      </c>
      <c r="H5" s="438"/>
      <c r="I5" s="439">
        <f>F5</f>
        <v>3000</v>
      </c>
      <c r="J5" s="440" t="s">
        <v>407</v>
      </c>
      <c r="K5" s="438"/>
      <c r="L5" s="441">
        <f>I5</f>
        <v>3000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94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2000</v>
      </c>
      <c r="G6" s="455" t="s">
        <v>392</v>
      </c>
      <c r="H6" s="401"/>
      <c r="I6" s="456">
        <f>F6</f>
        <v>2000</v>
      </c>
      <c r="J6" s="457" t="s">
        <v>557</v>
      </c>
      <c r="K6" s="401"/>
      <c r="L6" s="458">
        <f>I6</f>
        <v>2000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13</v>
      </c>
      <c r="J7" s="473" t="s">
        <v>408</v>
      </c>
      <c r="K7" s="442"/>
      <c r="L7" s="370">
        <f>I7</f>
        <v>13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56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25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83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3.5</v>
      </c>
      <c r="G9" s="339" t="s">
        <v>395</v>
      </c>
      <c r="H9" s="210" t="s">
        <v>324</v>
      </c>
      <c r="I9" s="312">
        <v>3.5</v>
      </c>
      <c r="J9" s="349" t="s">
        <v>410</v>
      </c>
      <c r="K9" s="209"/>
      <c r="L9" s="317">
        <f>I9</f>
        <v>3.5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7"/>
      <c r="B10" s="225" t="s">
        <v>302</v>
      </c>
      <c r="C10" s="228" t="s">
        <v>232</v>
      </c>
      <c r="D10" s="315" t="s">
        <v>352</v>
      </c>
      <c r="E10" s="210"/>
      <c r="F10" s="226">
        <v>1210</v>
      </c>
      <c r="G10" s="446" t="s">
        <v>396</v>
      </c>
      <c r="H10" s="209"/>
      <c r="I10" s="227">
        <f>F10</f>
        <v>1210</v>
      </c>
      <c r="J10" s="349" t="s">
        <v>411</v>
      </c>
      <c r="K10" s="209"/>
      <c r="L10" s="319">
        <f>I10</f>
        <v>1210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8"/>
      <c r="B11" s="231" t="s">
        <v>303</v>
      </c>
      <c r="C11" s="232" t="s">
        <v>232</v>
      </c>
      <c r="D11" s="444" t="s">
        <v>353</v>
      </c>
      <c r="E11" s="404"/>
      <c r="F11" s="405">
        <v>700</v>
      </c>
      <c r="G11" s="447" t="s">
        <v>397</v>
      </c>
      <c r="H11" s="406"/>
      <c r="I11" s="407">
        <f>F11</f>
        <v>700</v>
      </c>
      <c r="J11" s="472" t="s">
        <v>412</v>
      </c>
      <c r="K11" s="406"/>
      <c r="L11" s="408">
        <f>I11</f>
        <v>700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0.14</v>
      </c>
      <c r="G12" s="398" t="s">
        <v>398</v>
      </c>
      <c r="H12" s="209"/>
      <c r="I12" s="399">
        <f>F12</f>
        <v>0.14</v>
      </c>
      <c r="J12" s="400" t="s">
        <v>413</v>
      </c>
      <c r="K12" s="401"/>
      <c r="L12" s="402">
        <f>I12</f>
        <v>0.14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77" t="s">
        <v>295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9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80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2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46" t="s">
        <v>451</v>
      </c>
      <c r="B16" s="279" t="s">
        <v>304</v>
      </c>
      <c r="C16" s="277" t="s">
        <v>232</v>
      </c>
      <c r="D16" s="301" t="s">
        <v>355</v>
      </c>
      <c r="E16" s="280"/>
      <c r="F16" s="281">
        <f>'Variante A'!B113</f>
        <v>1204.2564061802182</v>
      </c>
      <c r="G16" s="338" t="s">
        <v>399</v>
      </c>
      <c r="H16" s="273"/>
      <c r="I16" s="281">
        <f>'Variante F 1-2'!B123</f>
        <v>783.2376392808188</v>
      </c>
      <c r="J16" s="338" t="s">
        <v>414</v>
      </c>
      <c r="K16" s="273"/>
      <c r="L16" s="322">
        <f aca="true" t="shared" si="0" ref="L16:L21">I16</f>
        <v>783.2376392808188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47"/>
      <c r="B17" s="384" t="s">
        <v>305</v>
      </c>
      <c r="C17" s="371" t="s">
        <v>232</v>
      </c>
      <c r="D17" s="296" t="s">
        <v>356</v>
      </c>
      <c r="E17" s="211"/>
      <c r="F17" s="409">
        <f>IF(F16&gt;F10,F16-F10,0)</f>
        <v>0</v>
      </c>
      <c r="G17" s="341" t="s">
        <v>400</v>
      </c>
      <c r="H17" s="212"/>
      <c r="I17" s="409">
        <f>IF(I16&gt;I10,I16-I10,0)</f>
        <v>0</v>
      </c>
      <c r="J17" s="341" t="s">
        <v>415</v>
      </c>
      <c r="K17" s="212"/>
      <c r="L17" s="375">
        <f t="shared" si="0"/>
        <v>0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71" t="s">
        <v>326</v>
      </c>
      <c r="B18" s="412" t="s">
        <v>525</v>
      </c>
      <c r="C18" s="413" t="s">
        <v>0</v>
      </c>
      <c r="D18" s="463" t="s">
        <v>357</v>
      </c>
      <c r="E18" s="385"/>
      <c r="F18" s="383">
        <f>'Variante A'!B43</f>
        <v>11.277526457682036</v>
      </c>
      <c r="G18" s="465" t="s">
        <v>401</v>
      </c>
      <c r="H18" s="387"/>
      <c r="I18" s="383">
        <f>'Variante F 1-2'!B43</f>
        <v>12.22149661103496</v>
      </c>
      <c r="J18" s="386" t="s">
        <v>416</v>
      </c>
      <c r="K18" s="387"/>
      <c r="L18" s="392">
        <f t="shared" si="0"/>
        <v>12.22149661103496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72"/>
      <c r="B19" s="358" t="s">
        <v>526</v>
      </c>
      <c r="C19" s="359" t="s">
        <v>0</v>
      </c>
      <c r="D19" s="316" t="s">
        <v>358</v>
      </c>
      <c r="E19" s="211"/>
      <c r="F19" s="362">
        <v>8.7</v>
      </c>
      <c r="G19" s="342" t="s">
        <v>402</v>
      </c>
      <c r="H19" s="212"/>
      <c r="I19" s="410">
        <f>I18/F18*F19</f>
        <v>9.428221774959898</v>
      </c>
      <c r="J19" s="342" t="s">
        <v>417</v>
      </c>
      <c r="K19" s="212"/>
      <c r="L19" s="411">
        <f t="shared" si="0"/>
        <v>9.428221774959898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72"/>
      <c r="B20" s="282" t="s">
        <v>527</v>
      </c>
      <c r="C20" s="278" t="s">
        <v>2</v>
      </c>
      <c r="D20" s="459" t="s">
        <v>359</v>
      </c>
      <c r="E20" s="211"/>
      <c r="F20" s="294">
        <f>'Variante A'!B44</f>
        <v>1.080443171949469</v>
      </c>
      <c r="G20" s="342" t="s">
        <v>403</v>
      </c>
      <c r="H20" s="212"/>
      <c r="I20" s="270">
        <f>'Variante F 1-2'!B44</f>
        <v>1.0742298614378272</v>
      </c>
      <c r="J20" s="342" t="s">
        <v>418</v>
      </c>
      <c r="K20" s="212"/>
      <c r="L20" s="393">
        <f t="shared" si="0"/>
        <v>1.0742298614378272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72"/>
      <c r="B21" s="282" t="s">
        <v>528</v>
      </c>
      <c r="C21" s="278" t="s">
        <v>2</v>
      </c>
      <c r="D21" s="316" t="s">
        <v>360</v>
      </c>
      <c r="E21" s="211"/>
      <c r="F21" s="230">
        <v>1.08</v>
      </c>
      <c r="G21" s="351" t="s">
        <v>404</v>
      </c>
      <c r="H21" s="212"/>
      <c r="I21" s="270">
        <f>F21*I20/F20</f>
        <v>1.0737892380397338</v>
      </c>
      <c r="J21" s="342" t="s">
        <v>419</v>
      </c>
      <c r="K21" s="212"/>
      <c r="L21" s="378">
        <f t="shared" si="0"/>
        <v>1.0737892380397338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72"/>
      <c r="B22" s="282" t="s">
        <v>325</v>
      </c>
      <c r="C22" s="278" t="s">
        <v>292</v>
      </c>
      <c r="D22" s="316" t="s">
        <v>361</v>
      </c>
      <c r="E22" s="211"/>
      <c r="F22" s="226">
        <v>183</v>
      </c>
      <c r="G22" s="343" t="s">
        <v>405</v>
      </c>
      <c r="H22" s="212" t="s">
        <v>498</v>
      </c>
      <c r="I22" s="226">
        <v>7</v>
      </c>
      <c r="J22" s="343" t="s">
        <v>420</v>
      </c>
      <c r="K22" s="212" t="s">
        <v>498</v>
      </c>
      <c r="L22" s="325">
        <v>7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72"/>
      <c r="B23" s="282" t="s">
        <v>310</v>
      </c>
      <c r="C23" s="278" t="s">
        <v>232</v>
      </c>
      <c r="D23" s="296" t="s">
        <v>362</v>
      </c>
      <c r="E23" s="211"/>
      <c r="F23" s="283">
        <f>'Variante A'!B43*F22/F26*'Variante A'!B44</f>
        <v>675.6984671987311</v>
      </c>
      <c r="G23" s="464" t="s">
        <v>406</v>
      </c>
      <c r="H23" s="215"/>
      <c r="I23" s="283">
        <f>'Variante F 1-2'!B43*'Variante F 1-2'!B44/I26*I22</f>
        <v>14.13859635034534</v>
      </c>
      <c r="J23" s="490" t="s">
        <v>545</v>
      </c>
      <c r="K23" s="492"/>
      <c r="L23" s="514">
        <f>'Variante F 1-2'!B43*'Variante F 1-2'!B44/L26*L22</f>
        <v>27.848750387043857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73"/>
      <c r="B24" s="290" t="s">
        <v>311</v>
      </c>
      <c r="C24" s="275" t="s">
        <v>232</v>
      </c>
      <c r="D24" s="447" t="s">
        <v>470</v>
      </c>
      <c r="E24" s="389"/>
      <c r="F24" s="390">
        <f>IF(F23-F11&gt;0,F23-F11,0)</f>
        <v>0</v>
      </c>
      <c r="G24" s="487" t="s">
        <v>363</v>
      </c>
      <c r="H24" s="489"/>
      <c r="I24" s="488">
        <f>IF(I23-I11&gt;0,I23-I11,0)</f>
        <v>0</v>
      </c>
      <c r="J24" s="491" t="s">
        <v>364</v>
      </c>
      <c r="K24" s="489"/>
      <c r="L24" s="515">
        <f>IF(L23-L11&gt;0,L23-L11,0)</f>
        <v>0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95" t="s">
        <v>480</v>
      </c>
      <c r="B25" s="358" t="s">
        <v>529</v>
      </c>
      <c r="C25" s="359" t="s">
        <v>335</v>
      </c>
      <c r="D25" s="461" t="s">
        <v>471</v>
      </c>
      <c r="E25" s="212"/>
      <c r="F25" s="512">
        <f>(F19*F21*365/F26)</f>
        <v>1039.2545454545455</v>
      </c>
      <c r="G25" s="215" t="s">
        <v>365</v>
      </c>
      <c r="H25" s="215"/>
      <c r="I25" s="512">
        <f>(I19*I21*365/I26)</f>
        <v>568.4972188720604</v>
      </c>
      <c r="J25" s="215" t="s">
        <v>421</v>
      </c>
      <c r="K25" s="215"/>
      <c r="L25" s="516">
        <f>(L19*L21*365/L26)</f>
        <v>1119.7672492934526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96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3.3</v>
      </c>
      <c r="G26" s="462" t="s">
        <v>366</v>
      </c>
      <c r="H26" s="212" t="s">
        <v>331</v>
      </c>
      <c r="I26" s="362">
        <v>6.5</v>
      </c>
      <c r="J26" s="462" t="s">
        <v>422</v>
      </c>
      <c r="K26" s="212"/>
      <c r="L26" s="378">
        <f>F26</f>
        <v>3.3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97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17</v>
      </c>
      <c r="G27" s="467" t="s">
        <v>367</v>
      </c>
      <c r="H27" s="466" t="s">
        <v>337</v>
      </c>
      <c r="I27" s="494">
        <v>29.5</v>
      </c>
      <c r="J27" s="467" t="s">
        <v>423</v>
      </c>
      <c r="K27" s="337" t="s">
        <v>338</v>
      </c>
      <c r="L27" s="495">
        <v>18.3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74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9</v>
      </c>
      <c r="J28" s="341" t="s">
        <v>424</v>
      </c>
      <c r="K28" s="274"/>
      <c r="L28" s="527">
        <f aca="true" t="shared" si="1" ref="L28:L34">I28</f>
        <v>9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75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6</v>
      </c>
      <c r="J29" s="341" t="s">
        <v>369</v>
      </c>
      <c r="K29" s="212"/>
      <c r="L29" s="505">
        <f t="shared" si="1"/>
        <v>6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75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36</v>
      </c>
      <c r="J30" s="341" t="s">
        <v>425</v>
      </c>
      <c r="K30" s="212"/>
      <c r="L30" s="323">
        <f t="shared" si="1"/>
        <v>36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75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55</v>
      </c>
      <c r="J31" s="341" t="s">
        <v>426</v>
      </c>
      <c r="K31" s="212"/>
      <c r="L31" s="323">
        <f t="shared" si="1"/>
        <v>55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75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60</v>
      </c>
      <c r="J32" s="347" t="s">
        <v>427</v>
      </c>
      <c r="K32" s="212"/>
      <c r="L32" s="323">
        <f t="shared" si="1"/>
        <v>60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72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0.14</v>
      </c>
      <c r="J33" s="374" t="s">
        <v>428</v>
      </c>
      <c r="K33" s="212"/>
      <c r="L33" s="517">
        <f t="shared" si="1"/>
        <v>0.14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73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0.047</v>
      </c>
      <c r="J34" s="476" t="s">
        <v>429</v>
      </c>
      <c r="K34" s="212"/>
      <c r="L34" s="513">
        <f t="shared" si="1"/>
        <v>0.047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5" t="s">
        <v>479</v>
      </c>
      <c r="B35" s="379" t="s">
        <v>341</v>
      </c>
      <c r="C35" s="380" t="s">
        <v>30</v>
      </c>
      <c r="D35" s="381" t="s">
        <v>387</v>
      </c>
      <c r="E35" s="382"/>
      <c r="F35" s="496">
        <f>'Variante A'!B80</f>
        <v>17.60303446783631</v>
      </c>
      <c r="G35" s="377" t="s">
        <v>376</v>
      </c>
      <c r="H35" s="382"/>
      <c r="I35" s="500">
        <f>'Variante F 1-2'!B83</f>
        <v>16.55883451992439</v>
      </c>
      <c r="J35" s="377" t="s">
        <v>430</v>
      </c>
      <c r="K35" s="382"/>
      <c r="L35" s="503">
        <f>I35</f>
        <v>16.55883451992439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6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17.6</v>
      </c>
      <c r="G36" s="344" t="s">
        <v>377</v>
      </c>
      <c r="H36" s="376" t="s">
        <v>459</v>
      </c>
      <c r="I36" s="501">
        <v>16.56</v>
      </c>
      <c r="J36" s="348" t="s">
        <v>466</v>
      </c>
      <c r="K36" s="376"/>
      <c r="L36" s="504">
        <f>I36</f>
        <v>16.56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6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3.5</v>
      </c>
      <c r="G37" s="344" t="s">
        <v>378</v>
      </c>
      <c r="H37" s="306" t="s">
        <v>343</v>
      </c>
      <c r="I37" s="295">
        <v>2.5</v>
      </c>
      <c r="J37" s="348" t="s">
        <v>467</v>
      </c>
      <c r="K37" s="306"/>
      <c r="L37" s="505">
        <f>I37</f>
        <v>2.5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6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>
        <f>'Variante F 1-2'!B86</f>
        <v>0.7390463845336785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7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0.74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7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1.2</v>
      </c>
      <c r="J40" s="474" t="s">
        <v>433</v>
      </c>
      <c r="K40" s="306"/>
      <c r="L40" s="505">
        <f>I40</f>
        <v>1.2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8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2.26</v>
      </c>
      <c r="G41" s="471" t="s">
        <v>382</v>
      </c>
      <c r="H41" s="469" t="s">
        <v>345</v>
      </c>
      <c r="I41" s="494">
        <v>0.95</v>
      </c>
      <c r="J41" s="475" t="s">
        <v>434</v>
      </c>
      <c r="K41" s="469"/>
      <c r="L41" s="506">
        <f>I41</f>
        <v>0.95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67" t="s">
        <v>334</v>
      </c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9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55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>
        <f>IF(F17=0,0,'IK Becken Variante 1'!C10/F17)</f>
        <v>0</v>
      </c>
      <c r="G44" s="510"/>
      <c r="H44" s="511"/>
      <c r="I44" s="509">
        <f>IF(I17=0,0,'IK Becken Variante 2&amp;3 '!C11)</f>
        <v>0</v>
      </c>
      <c r="J44" s="381" t="s">
        <v>435</v>
      </c>
      <c r="K44" s="397"/>
      <c r="L44" s="508">
        <f>I44</f>
        <v>0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56"/>
      <c r="B45" s="225" t="s">
        <v>523</v>
      </c>
      <c r="C45" s="228" t="s">
        <v>237</v>
      </c>
      <c r="D45" s="352" t="s">
        <v>534</v>
      </c>
      <c r="E45" s="229"/>
      <c r="F45" s="523">
        <f>F44*F17</f>
        <v>0</v>
      </c>
      <c r="G45" s="352" t="s">
        <v>536</v>
      </c>
      <c r="H45" s="209"/>
      <c r="I45" s="524">
        <f>I17*I44</f>
        <v>0</v>
      </c>
      <c r="J45" s="354" t="s">
        <v>538</v>
      </c>
      <c r="K45" s="209"/>
      <c r="L45" s="525">
        <f>L44*L17</f>
        <v>0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56"/>
      <c r="B46" s="225" t="s">
        <v>551</v>
      </c>
      <c r="C46" s="228" t="s">
        <v>237</v>
      </c>
      <c r="D46" s="353" t="s">
        <v>390</v>
      </c>
      <c r="E46" s="229"/>
      <c r="F46" s="233">
        <v>0</v>
      </c>
      <c r="G46" s="353" t="s">
        <v>383</v>
      </c>
      <c r="H46" s="209"/>
      <c r="I46" s="233">
        <v>0</v>
      </c>
      <c r="J46" s="353" t="s">
        <v>383</v>
      </c>
      <c r="K46" s="209"/>
      <c r="L46" s="486">
        <v>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56"/>
      <c r="B47" s="225" t="s">
        <v>552</v>
      </c>
      <c r="C47" s="228" t="s">
        <v>237</v>
      </c>
      <c r="D47" s="353" t="s">
        <v>464</v>
      </c>
      <c r="E47" s="229"/>
      <c r="F47" s="233">
        <v>0</v>
      </c>
      <c r="G47" s="353" t="s">
        <v>384</v>
      </c>
      <c r="H47" s="209"/>
      <c r="I47" s="233">
        <v>0</v>
      </c>
      <c r="J47" s="353" t="s">
        <v>384</v>
      </c>
      <c r="K47" s="209"/>
      <c r="L47" s="486">
        <v>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7"/>
      <c r="B48" s="225" t="s">
        <v>312</v>
      </c>
      <c r="C48" s="228" t="s">
        <v>237</v>
      </c>
      <c r="D48" s="351" t="s">
        <v>516</v>
      </c>
      <c r="E48" s="229"/>
      <c r="F48" s="300">
        <f>'IK Becken Variante 1'!C41/183*F22</f>
        <v>0</v>
      </c>
      <c r="G48" s="351" t="s">
        <v>385</v>
      </c>
      <c r="H48" s="209"/>
      <c r="I48" s="300">
        <f>'IK Becken Variante 2&amp;3 '!C45</f>
        <v>0</v>
      </c>
      <c r="J48" s="351" t="s">
        <v>385</v>
      </c>
      <c r="K48" s="209"/>
      <c r="L48" s="327">
        <f>'IK Becken Variante 2&amp;3 '!C46</f>
        <v>0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7"/>
      <c r="B49" s="225" t="s">
        <v>524</v>
      </c>
      <c r="C49" s="228" t="s">
        <v>237</v>
      </c>
      <c r="D49" s="350" t="s">
        <v>535</v>
      </c>
      <c r="E49" s="229"/>
      <c r="F49" s="226">
        <v>0</v>
      </c>
      <c r="G49" s="350" t="s">
        <v>386</v>
      </c>
      <c r="H49" s="209"/>
      <c r="I49" s="226">
        <v>0</v>
      </c>
      <c r="J49" s="350" t="s">
        <v>386</v>
      </c>
      <c r="K49" s="209"/>
      <c r="L49" s="325">
        <v>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7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85000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7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7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8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3</v>
      </c>
      <c r="G53" s="352" t="s">
        <v>440</v>
      </c>
      <c r="H53" s="235"/>
      <c r="I53" s="313">
        <f>F53</f>
        <v>3</v>
      </c>
      <c r="J53" s="485" t="s">
        <v>440</v>
      </c>
      <c r="K53" s="484"/>
      <c r="L53" s="328">
        <f>I53</f>
        <v>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59" t="s">
        <v>483</v>
      </c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62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52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6540.800000000001</v>
      </c>
      <c r="G57" s="341" t="s">
        <v>444</v>
      </c>
      <c r="H57" s="274"/>
      <c r="I57" s="281">
        <f>Stromkosten!F27</f>
        <v>6146.000000000001</v>
      </c>
      <c r="J57" s="341" t="s">
        <v>447</v>
      </c>
      <c r="K57" s="274"/>
      <c r="L57" s="322">
        <f>Stromkosten!K27</f>
        <v>5938.8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53"/>
      <c r="B58" s="415" t="s">
        <v>159</v>
      </c>
      <c r="C58" s="278" t="s">
        <v>146</v>
      </c>
      <c r="D58" s="422" t="s">
        <v>442</v>
      </c>
      <c r="E58" s="271"/>
      <c r="F58" s="414">
        <f>F25*F27</f>
        <v>17667.327272727274</v>
      </c>
      <c r="G58" s="424" t="s">
        <v>445</v>
      </c>
      <c r="H58" s="215"/>
      <c r="I58" s="414">
        <f>I25*I27</f>
        <v>16770.66795672578</v>
      </c>
      <c r="J58" s="424" t="s">
        <v>448</v>
      </c>
      <c r="K58" s="215"/>
      <c r="L58" s="323">
        <f>L25*L27</f>
        <v>20491.740662070184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54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-2598.1722000000004</v>
      </c>
      <c r="J59" s="447" t="s">
        <v>507</v>
      </c>
      <c r="K59" s="481"/>
      <c r="L59" s="332">
        <f>'ele. und th. Erlös'!J14</f>
        <v>-2598.1722000000004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52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0</v>
      </c>
      <c r="G60" s="483" t="s">
        <v>505</v>
      </c>
      <c r="H60" s="482"/>
      <c r="I60" s="281">
        <f>I49+I46+I50+I51+I52</f>
        <v>85000</v>
      </c>
      <c r="J60" s="483" t="s">
        <v>508</v>
      </c>
      <c r="K60" s="482"/>
      <c r="L60" s="322">
        <f>L49+L46+L50+L51+L52</f>
        <v>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0"/>
      <c r="B61" s="225" t="s">
        <v>500</v>
      </c>
      <c r="C61" s="371" t="s">
        <v>237</v>
      </c>
      <c r="D61" s="388" t="s">
        <v>443</v>
      </c>
      <c r="E61" s="423"/>
      <c r="F61" s="409">
        <f>F51+F47</f>
        <v>0</v>
      </c>
      <c r="G61" s="391" t="s">
        <v>446</v>
      </c>
      <c r="H61" s="425"/>
      <c r="I61" s="409">
        <f>I50+I47+I51</f>
        <v>85000</v>
      </c>
      <c r="J61" s="391" t="s">
        <v>449</v>
      </c>
      <c r="K61" s="425"/>
      <c r="L61" s="375">
        <f>L51+L47</f>
        <v>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>
        <f>Projektkostenbarwertberechnung!B58</f>
        <v>421539.6955292548</v>
      </c>
      <c r="G62" s="432" t="s">
        <v>506</v>
      </c>
      <c r="H62" s="431"/>
      <c r="I62" s="436">
        <f>Projektkostenbarwertberechnung!D58</f>
        <v>497558.0443343827</v>
      </c>
      <c r="J62" s="432" t="s">
        <v>509</v>
      </c>
      <c r="K62" s="431"/>
      <c r="L62" s="433">
        <f>Projektkostenbarwertberechnung!F58</f>
        <v>414996.5518629839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59" t="s">
        <v>313</v>
      </c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L64" s="56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62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49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6.529606</v>
      </c>
      <c r="G66" s="355" t="s">
        <v>461</v>
      </c>
      <c r="H66" s="274"/>
      <c r="I66" s="270">
        <f>'CO2-Bilanz'!E54</f>
        <v>5.8983076</v>
      </c>
      <c r="J66" s="342" t="s">
        <v>465</v>
      </c>
      <c r="K66" s="274"/>
      <c r="L66" s="324">
        <f>'CO2-Bilanz'!H54</f>
        <v>5.8983076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50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0.6993796</v>
      </c>
      <c r="G67" s="355" t="s">
        <v>494</v>
      </c>
      <c r="H67" s="215"/>
      <c r="I67" s="270">
        <f>'CO2-Bilanz'!E55</f>
        <v>0.8943393999999998</v>
      </c>
      <c r="J67" s="342" t="s">
        <v>489</v>
      </c>
      <c r="K67" s="215"/>
      <c r="L67" s="324">
        <f>'CO2-Bilanz'!H55</f>
        <v>0.7984067999999999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50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>
        <f>'CO2-Bilanz'!E56</f>
        <v>0.8012282182668572</v>
      </c>
      <c r="J68" s="342" t="s">
        <v>490</v>
      </c>
      <c r="K68" s="215"/>
      <c r="L68" s="324">
        <f>'CO2-Bilanz'!H56</f>
        <v>1.5781767935559308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50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-2.1958043760000003</v>
      </c>
      <c r="J69" s="342" t="s">
        <v>491</v>
      </c>
      <c r="K69" s="215"/>
      <c r="L69" s="324">
        <f>'CO2-Bilanz'!H57</f>
        <v>-2.1958043760000003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51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-3.3822360000000007</v>
      </c>
      <c r="J70" s="468" t="s">
        <v>520</v>
      </c>
      <c r="K70" s="215"/>
      <c r="L70" s="324">
        <f>'CO2-Bilanz'!H58</f>
        <v>-3.3822360000000007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7.228985600000001</v>
      </c>
      <c r="G71" s="356" t="s">
        <v>540</v>
      </c>
      <c r="H71" s="291"/>
      <c r="I71" s="293">
        <f>SUM(I66:I70)</f>
        <v>2.0158348422668553</v>
      </c>
      <c r="J71" s="357" t="s">
        <v>541</v>
      </c>
      <c r="K71" s="291"/>
      <c r="L71" s="334">
        <f>SUM(L66:L70)</f>
        <v>2.69685081755593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32" t="s">
        <v>478</v>
      </c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3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35"/>
      <c r="B73" s="536"/>
      <c r="C73" s="536"/>
      <c r="D73" s="536"/>
      <c r="E73" s="536"/>
      <c r="F73" s="536"/>
      <c r="G73" s="536"/>
      <c r="H73" s="536"/>
      <c r="I73" s="536"/>
      <c r="J73" s="536"/>
      <c r="K73" s="536"/>
      <c r="L73" s="537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6.529606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5.8983076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5.8983076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0.6993796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0.8943393999999998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0.7984067999999999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>
        <f>I68</f>
        <v>0.8012282182668572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>
        <f>L68</f>
        <v>1.5781767935559308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-2.1958043760000003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-2.1958043760000003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-3.3822360000000007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-3.3822360000000007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7.228985600000001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>
        <f>I71</f>
        <v>2.0158348422668553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>
        <f>L71</f>
        <v>2.69685081755593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6.529606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5.8983076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5.8983076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0.6993796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0.8943393999999998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0.7984067999999999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>
        <f>I68</f>
        <v>0.8012282182668572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>
        <f>L68</f>
        <v>1.5781767935559308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-2.1958043760000003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-2.1958043760000003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-3.3822360000000007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-3.3822360000000007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7.228985600000001</v>
      </c>
      <c r="AF828" s="336" t="s">
        <v>318</v>
      </c>
    </row>
    <row r="829" spans="31:32" ht="15.75">
      <c r="AE829" s="335">
        <f>I71</f>
        <v>2.0158348422668553</v>
      </c>
      <c r="AF829" s="336" t="s">
        <v>318</v>
      </c>
    </row>
    <row r="830" spans="31:32" ht="15.75">
      <c r="AE830" s="335">
        <f>L71</f>
        <v>2.69685081755593</v>
      </c>
      <c r="AF830" s="336" t="s">
        <v>318</v>
      </c>
    </row>
  </sheetData>
  <sheetProtection password="CA63" sheet="1" selectLockedCells="1"/>
  <mergeCells count="24"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  <mergeCell ref="A35:A41"/>
    <mergeCell ref="A55:L56"/>
    <mergeCell ref="A43:L43"/>
    <mergeCell ref="A60:A61"/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2000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13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42200</v>
      </c>
      <c r="D18" s="249" t="s">
        <v>216</v>
      </c>
      <c r="E18" s="244">
        <f>Stromkosten!F15*'Variante A'!B3</f>
        <v>38120</v>
      </c>
      <c r="G18" s="249" t="s">
        <v>216</v>
      </c>
      <c r="H18" s="244">
        <f>Stromkosten!K15*'Variante A'!B3</f>
        <v>38120</v>
      </c>
    </row>
    <row r="19" spans="1:8" ht="12.75">
      <c r="A19" s="238" t="s">
        <v>217</v>
      </c>
      <c r="B19" s="244">
        <f>Stromkosten!B16*'Variante A'!B3</f>
        <v>4520</v>
      </c>
      <c r="D19" s="238" t="s">
        <v>217</v>
      </c>
      <c r="E19" s="244">
        <f>Stromkosten!F16*'Variante A'!B3</f>
        <v>5779.999999999999</v>
      </c>
      <c r="F19" s="250"/>
      <c r="G19" s="238" t="s">
        <v>217</v>
      </c>
      <c r="H19" s="244">
        <f>Stromkosten!K16*1.2*'Variante A'!B3</f>
        <v>5159.999999999999</v>
      </c>
    </row>
    <row r="20" spans="1:8" ht="12.75">
      <c r="A20" s="238" t="s">
        <v>180</v>
      </c>
      <c r="B20" s="244">
        <f>B14*(B19+B18)/10^6</f>
        <v>7.2289856</v>
      </c>
      <c r="D20" s="238" t="s">
        <v>180</v>
      </c>
      <c r="E20" s="251">
        <f>B14*(E18+E19)/10^6</f>
        <v>6.792647</v>
      </c>
      <c r="F20" s="251"/>
      <c r="G20" s="238" t="s">
        <v>180</v>
      </c>
      <c r="H20" s="251">
        <f>(H19+H18)*B14/10^6</f>
        <v>6.696714399999999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13</v>
      </c>
      <c r="F23" s="250"/>
      <c r="G23" s="249" t="s">
        <v>200</v>
      </c>
      <c r="H23" s="250">
        <f>'Variante A'!B5</f>
        <v>13</v>
      </c>
    </row>
    <row r="24" spans="1:8" ht="12.75">
      <c r="A24" s="249"/>
      <c r="B24" s="522"/>
      <c r="D24" s="249" t="s">
        <v>183</v>
      </c>
      <c r="E24" s="250">
        <f>'Dateneingabe und Ergebnisse'!I25</f>
        <v>568.4972188720604</v>
      </c>
      <c r="F24" s="250"/>
      <c r="G24" s="249" t="s">
        <v>183</v>
      </c>
      <c r="H24" s="250">
        <f>'Dateneingabe und Ergebnisse'!L25</f>
        <v>1119.7672492934526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>
        <f>E24/E25*E23*2</f>
        <v>1019.3743234947292</v>
      </c>
      <c r="F26" s="250"/>
      <c r="G26" s="249" t="s">
        <v>185</v>
      </c>
      <c r="H26" s="250">
        <f>H24/H25*H23*2</f>
        <v>2007.8585159744666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>
        <f>E26</f>
        <v>1019.3743234947292</v>
      </c>
      <c r="F33" s="250"/>
      <c r="G33" s="249" t="s">
        <v>184</v>
      </c>
      <c r="H33" s="252">
        <f>H26</f>
        <v>2007.8585159744666</v>
      </c>
    </row>
    <row r="34" spans="1:8" ht="12.75">
      <c r="A34" s="249"/>
      <c r="B34" s="251"/>
      <c r="D34" s="249" t="s">
        <v>180</v>
      </c>
      <c r="E34" s="248">
        <f>E33*B10/10^6</f>
        <v>0.8012282182668572</v>
      </c>
      <c r="F34" s="248"/>
      <c r="G34" s="249" t="s">
        <v>180</v>
      </c>
      <c r="H34" s="248">
        <f>H33*B10/10^6</f>
        <v>1.5781767935559308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7.2289856</v>
      </c>
      <c r="D37" s="238" t="s">
        <v>189</v>
      </c>
      <c r="E37" s="251">
        <f>E34+E20</f>
        <v>7.593875218266857</v>
      </c>
      <c r="F37" s="251"/>
      <c r="G37" s="238" t="s">
        <v>189</v>
      </c>
      <c r="H37" s="251">
        <f>H34+H20</f>
        <v>8.27489119355593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14191.2</v>
      </c>
      <c r="F40" s="250"/>
      <c r="G40" s="238" t="s">
        <v>193</v>
      </c>
      <c r="H40" s="250">
        <f>'ele. und th. Erlös'!J7</f>
        <v>14191.2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13008.600000000002</v>
      </c>
      <c r="F41" s="250"/>
      <c r="G41" s="238" t="s">
        <v>194</v>
      </c>
      <c r="H41" s="250">
        <f>'ele. und th. Erlös'!J8</f>
        <v>13008.600000000002</v>
      </c>
    </row>
    <row r="42" spans="1:8" ht="12.75">
      <c r="A42" s="244"/>
      <c r="D42" s="238" t="s">
        <v>192</v>
      </c>
      <c r="E42" s="251">
        <f>E40*B14/10^6</f>
        <v>2.1958043760000003</v>
      </c>
      <c r="F42" s="251"/>
      <c r="G42" s="238" t="s">
        <v>192</v>
      </c>
      <c r="H42" s="248">
        <f>H40*B14/10^6</f>
        <v>2.1958043760000003</v>
      </c>
    </row>
    <row r="43" spans="4:8" ht="12.75">
      <c r="D43" s="238" t="s">
        <v>197</v>
      </c>
      <c r="E43" s="251">
        <f>E41*B15/10^6</f>
        <v>3.3822360000000007</v>
      </c>
      <c r="F43" s="251" t="s">
        <v>195</v>
      </c>
      <c r="G43" s="238" t="s">
        <v>197</v>
      </c>
      <c r="H43" s="248">
        <f>H41*B15/10^6</f>
        <v>3.3822360000000007</v>
      </c>
    </row>
    <row r="44" spans="4:8" ht="12.75">
      <c r="D44" s="238" t="s">
        <v>196</v>
      </c>
      <c r="E44" s="251">
        <f>E43+E42</f>
        <v>5.578040376000001</v>
      </c>
      <c r="G44" s="238" t="s">
        <v>196</v>
      </c>
      <c r="H44" s="251">
        <f>H43+H42</f>
        <v>5.578040376000001</v>
      </c>
    </row>
    <row r="46" spans="1:8" ht="12.75">
      <c r="A46" s="243" t="s">
        <v>198</v>
      </c>
      <c r="B46" s="256">
        <f>B37</f>
        <v>7.2289856</v>
      </c>
      <c r="D46" s="243" t="s">
        <v>198</v>
      </c>
      <c r="E46" s="256">
        <f>E37-E44</f>
        <v>2.015834842266856</v>
      </c>
      <c r="G46" s="243" t="s">
        <v>198</v>
      </c>
      <c r="H46" s="256">
        <f>H37-H44</f>
        <v>2.69685081755593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6.529606</v>
      </c>
      <c r="D54" s="249" t="s">
        <v>210</v>
      </c>
      <c r="E54" s="251">
        <f>E18*$B$14/10^6</f>
        <v>5.8983076</v>
      </c>
      <c r="G54" s="249" t="s">
        <v>210</v>
      </c>
      <c r="H54" s="251">
        <f>H18*$B$14/10^6</f>
        <v>5.8983076</v>
      </c>
    </row>
    <row r="55" spans="1:8" ht="12.75">
      <c r="A55" s="238" t="s">
        <v>108</v>
      </c>
      <c r="B55" s="251">
        <f>B19*$B$14/10^6</f>
        <v>0.6993796</v>
      </c>
      <c r="D55" s="238" t="s">
        <v>108</v>
      </c>
      <c r="E55" s="251">
        <f>E19*$B$14/10^6</f>
        <v>0.8943393999999998</v>
      </c>
      <c r="G55" s="238" t="s">
        <v>108</v>
      </c>
      <c r="H55" s="251">
        <f>H19*$B$14/10^6</f>
        <v>0.7984067999999999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>
        <f>E34</f>
        <v>0.8012282182668572</v>
      </c>
      <c r="G56" s="238" t="s">
        <v>218</v>
      </c>
      <c r="H56" s="248">
        <f>H34</f>
        <v>1.5781767935559308</v>
      </c>
    </row>
    <row r="57" spans="1:8" ht="12.75">
      <c r="A57" s="238" t="s">
        <v>222</v>
      </c>
      <c r="B57" s="251">
        <f>B46</f>
        <v>7.2289856</v>
      </c>
      <c r="D57" s="238" t="s">
        <v>220</v>
      </c>
      <c r="E57" s="251">
        <f>E42*(-1)</f>
        <v>-2.1958043760000003</v>
      </c>
      <c r="G57" s="238" t="s">
        <v>220</v>
      </c>
      <c r="H57" s="248">
        <f>H42*(-1)</f>
        <v>-2.1958043760000003</v>
      </c>
    </row>
    <row r="58" spans="4:8" ht="12.75">
      <c r="D58" s="238" t="s">
        <v>221</v>
      </c>
      <c r="E58" s="251">
        <f>E43*(-1)</f>
        <v>-3.3822360000000007</v>
      </c>
      <c r="G58" s="238" t="s">
        <v>221</v>
      </c>
      <c r="H58" s="248">
        <f>H43*(-1)</f>
        <v>-3.3822360000000007</v>
      </c>
    </row>
    <row r="59" spans="4:8" ht="12.75">
      <c r="D59" s="238" t="s">
        <v>222</v>
      </c>
      <c r="E59" s="251">
        <f>E46</f>
        <v>2.015834842266856</v>
      </c>
      <c r="G59" s="238" t="s">
        <v>222</v>
      </c>
      <c r="H59" s="251">
        <f>H46</f>
        <v>2.69685081755593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2000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13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14.000000000000002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21.1</v>
      </c>
      <c r="C15" s="53" t="s">
        <v>30</v>
      </c>
      <c r="E15" s="2" t="s">
        <v>210</v>
      </c>
      <c r="F15" s="122">
        <f>'Dateneingabe und Ergebnisse'!I36+'Dateneingabe und Ergebnisse'!I37</f>
        <v>19.06</v>
      </c>
      <c r="G15" s="53" t="s">
        <v>30</v>
      </c>
      <c r="J15" s="2" t="s">
        <v>210</v>
      </c>
      <c r="K15" s="122">
        <f>'Dateneingabe und Ergebnisse'!L36+'Dateneingabe und Ergebnisse'!L37</f>
        <v>19.06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2.26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2.8899999999999997</v>
      </c>
      <c r="G16" s="53" t="s">
        <v>30</v>
      </c>
      <c r="J16" s="2" t="s">
        <v>108</v>
      </c>
      <c r="K16" s="122">
        <f>'Dateneingabe und Ergebnisse'!L40+'Dateneingabe und Ergebnisse'!L41</f>
        <v>2.15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23.36</v>
      </c>
      <c r="C23" s="53" t="s">
        <v>30</v>
      </c>
      <c r="E23" s="110" t="s">
        <v>142</v>
      </c>
      <c r="F23" s="122">
        <f>F15+F16</f>
        <v>21.95</v>
      </c>
      <c r="G23" s="53" t="s">
        <v>30</v>
      </c>
      <c r="H23" s="53"/>
      <c r="J23" s="110" t="s">
        <v>142</v>
      </c>
      <c r="K23" s="122">
        <f>K15+K16</f>
        <v>21.209999999999997</v>
      </c>
      <c r="L23" s="53" t="s">
        <v>30</v>
      </c>
    </row>
    <row r="25" spans="1:12" ht="12.75">
      <c r="A25" s="110" t="s">
        <v>140</v>
      </c>
      <c r="B25" s="102">
        <f>B23*'Dateneingabe und Ergebnisse'!F6</f>
        <v>46720</v>
      </c>
      <c r="C25" s="53" t="s">
        <v>144</v>
      </c>
      <c r="E25" s="110" t="s">
        <v>140</v>
      </c>
      <c r="F25" s="102">
        <f>F23*'Dateneingabe und Ergebnisse'!F6</f>
        <v>43900</v>
      </c>
      <c r="G25" s="53" t="s">
        <v>144</v>
      </c>
      <c r="H25" s="53"/>
      <c r="J25" s="110" t="s">
        <v>140</v>
      </c>
      <c r="K25" s="102">
        <f>K23*'Dateneingabe und Ergebnisse'!F6</f>
        <v>42419.99999999999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6540.800000000001</v>
      </c>
      <c r="C27" t="s">
        <v>146</v>
      </c>
      <c r="E27" t="s">
        <v>145</v>
      </c>
      <c r="F27" s="106">
        <f>F25*B9/100</f>
        <v>6146.000000000001</v>
      </c>
      <c r="G27" t="s">
        <v>146</v>
      </c>
      <c r="J27" t="s">
        <v>145</v>
      </c>
      <c r="K27" s="106">
        <f>K25*B9/100</f>
        <v>5938.8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SheetLayoutView="70" zoomScalePageLayoutView="0" workbookViewId="0" topLeftCell="IT1">
      <selection activeCell="A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5.85156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2000</v>
      </c>
      <c r="D2" s="240"/>
      <c r="E2" s="238">
        <f>$C$2/'Dateneingabe und Ergebnisse'!$F$23*'Dateneingabe und Ergebnisse'!$F$24</f>
        <v>0</v>
      </c>
      <c r="F2" s="238">
        <f>$C$2/'Dateneingabe und Ergebnisse'!$F$23*'Dateneingabe und Ergebnisse'!$F$24</f>
        <v>0</v>
      </c>
      <c r="G2" s="240"/>
      <c r="H2" s="240"/>
      <c r="I2" s="240"/>
    </row>
    <row r="3" spans="1:9" ht="12.75">
      <c r="A3" s="238" t="s">
        <v>211</v>
      </c>
      <c r="C3" s="239">
        <f>'Variante A'!B5</f>
        <v>13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1210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>
        <f>'Variante F 1-2'!B123</f>
        <v>783.2376392808188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>
        <f>IF(C6&gt;C5,C6-C5,0)</f>
        <v>0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>
        <f>IF(C7=0,0,C30+C33+C31*C7+C34*C7)</f>
        <v>0</v>
      </c>
      <c r="D10" s="249" t="s">
        <v>237</v>
      </c>
      <c r="I10" s="240"/>
    </row>
    <row r="11" spans="1:9" ht="12.75">
      <c r="A11" s="263"/>
      <c r="B11" s="249" t="s">
        <v>275</v>
      </c>
      <c r="C11" s="265">
        <f>IF(C7=0,0,C10/C7)</f>
        <v>0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4" ht="12.75">
      <c r="B33" s="238" t="s">
        <v>255</v>
      </c>
      <c r="C33" s="250">
        <f>B25*(100-C28)/100</f>
        <v>87500</v>
      </c>
      <c r="D33" s="238" t="s">
        <v>237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>
        <f>'Dateneingabe und Ergebnisse'!I23</f>
        <v>14.13859635034534</v>
      </c>
      <c r="D43" s="249"/>
      <c r="I43" s="240"/>
    </row>
    <row r="44" spans="1:9" ht="12.75">
      <c r="A44" s="263"/>
      <c r="B44" s="249" t="s">
        <v>547</v>
      </c>
      <c r="C44" s="265">
        <f>'Dateneingabe und Ergebnisse'!L23</f>
        <v>27.848750387043857</v>
      </c>
      <c r="D44" s="249"/>
      <c r="I44" s="240"/>
    </row>
    <row r="45" spans="1:9" ht="12.75">
      <c r="A45" s="249" t="s">
        <v>320</v>
      </c>
      <c r="B45" s="249" t="s">
        <v>276</v>
      </c>
      <c r="C45" s="265">
        <f>IF('Dateneingabe und Ergebnisse'!F24=0,0,284.04*(F2/'Dateneingabe und Ergebnisse'!F23*C43)^(-0.2409)*C43/'Dateneingabe und Ergebnisse'!F23*'IK Becken Variante 2&amp;3 '!F2)</f>
        <v>0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>
        <f>IF('Dateneingabe und Ergebnisse'!L24=0,0,284.04*(E2/'Dateneingabe und Ergebnisse'!F23*C44)^(-0.2409)*C44/'Dateneingabe und Ergebnisse'!F23*'IK Becken Variante 2&amp;3 '!E2)</f>
        <v>0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2000</v>
      </c>
      <c r="F3" s="48"/>
    </row>
    <row r="4" spans="1:6" ht="12.75">
      <c r="A4" s="48" t="s">
        <v>114</v>
      </c>
      <c r="B4" s="131">
        <f>'Dateneingabe und Ergebnisse'!F53</f>
        <v>3</v>
      </c>
      <c r="C4" s="48"/>
      <c r="D4" s="48" t="s">
        <v>211</v>
      </c>
      <c r="E4" s="170">
        <f>'Variante A'!B5</f>
        <v>13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1.03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0</v>
      </c>
      <c r="C13" s="176" t="s">
        <v>118</v>
      </c>
      <c r="D13" s="200">
        <f>D14+D18+D22</f>
        <v>85000</v>
      </c>
      <c r="E13" s="177" t="s">
        <v>118</v>
      </c>
      <c r="F13" s="191">
        <f>F14+F18+F22</f>
        <v>0</v>
      </c>
      <c r="G13" s="101"/>
    </row>
    <row r="14" spans="1:7" ht="12.75">
      <c r="A14" s="180" t="s">
        <v>266</v>
      </c>
      <c r="B14" s="189">
        <f>B17+B16+B15</f>
        <v>0</v>
      </c>
      <c r="C14" s="190" t="s">
        <v>266</v>
      </c>
      <c r="D14" s="167">
        <f>D17+D16+D15</f>
        <v>85000</v>
      </c>
      <c r="E14" s="190" t="s">
        <v>266</v>
      </c>
      <c r="F14" s="191">
        <f>F17+F16+F15</f>
        <v>0</v>
      </c>
      <c r="G14" s="101"/>
    </row>
    <row r="15" spans="1:7" ht="12.75">
      <c r="A15" s="187" t="s">
        <v>277</v>
      </c>
      <c r="B15" s="184">
        <f>'Dateneingabe und Ergebnisse'!F47+'Dateneingabe und Ergebnisse'!F51</f>
        <v>0</v>
      </c>
      <c r="C15" s="187" t="s">
        <v>277</v>
      </c>
      <c r="D15" s="183">
        <f>'Dateneingabe und Ergebnisse'!I61</f>
        <v>85000</v>
      </c>
      <c r="E15" s="187" t="s">
        <v>277</v>
      </c>
      <c r="F15" s="195">
        <f>'Dateneingabe und Ergebnisse'!L61</f>
        <v>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0</v>
      </c>
      <c r="C18" s="190" t="s">
        <v>267</v>
      </c>
      <c r="D18" s="167">
        <f>D20+D21+D19</f>
        <v>0</v>
      </c>
      <c r="E18" s="190" t="s">
        <v>267</v>
      </c>
      <c r="F18" s="167">
        <f>F20+F21+F19</f>
        <v>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0</v>
      </c>
      <c r="C20" s="182" t="s">
        <v>242</v>
      </c>
      <c r="D20" s="183">
        <f>'Dateneingabe und Ergebnisse'!I46-'Dateneingabe und Ergebnisse'!I47</f>
        <v>0</v>
      </c>
      <c r="E20" s="182" t="s">
        <v>242</v>
      </c>
      <c r="F20" s="183">
        <f>'Dateneingabe und Ergebnisse'!L46</f>
        <v>0</v>
      </c>
      <c r="G20" s="101"/>
    </row>
    <row r="21" spans="1:7" ht="12.75">
      <c r="A21" s="175" t="s">
        <v>250</v>
      </c>
      <c r="B21" s="184">
        <f>'Dateneingabe und Ergebnisse'!F49</f>
        <v>0</v>
      </c>
      <c r="C21" s="182" t="s">
        <v>250</v>
      </c>
      <c r="D21" s="183">
        <f>'Dateneingabe und Ergebnisse'!I49</f>
        <v>0</v>
      </c>
      <c r="E21" s="182" t="s">
        <v>250</v>
      </c>
      <c r="F21" s="183">
        <f>'Dateneingabe und Ergebnisse'!L49</f>
        <v>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0</v>
      </c>
      <c r="C27" s="175" t="s">
        <v>119</v>
      </c>
      <c r="D27" s="183">
        <f>(D14+D18+D22)*(1-($B$5+$B$6)/100)</f>
        <v>85000</v>
      </c>
      <c r="E27" s="175" t="s">
        <v>119</v>
      </c>
      <c r="F27" s="183">
        <f>(F17+F20+F21+F22)*(1-($B$5+$B$6)/100)</f>
        <v>0</v>
      </c>
      <c r="G27" s="103"/>
    </row>
    <row r="28" spans="1:7" ht="15.75">
      <c r="A28" s="176" t="s">
        <v>120</v>
      </c>
      <c r="B28" s="189">
        <f>B29+B30+B31+B32</f>
        <v>24208.127272727274</v>
      </c>
      <c r="C28" s="176" t="s">
        <v>120</v>
      </c>
      <c r="D28" s="167">
        <f>D29+D30+D31+D32</f>
        <v>20318.49575672578</v>
      </c>
      <c r="E28" s="177" t="s">
        <v>120</v>
      </c>
      <c r="F28" s="201">
        <f>F29+F30+F31+F32</f>
        <v>23832.368462070182</v>
      </c>
      <c r="G28" s="104"/>
    </row>
    <row r="29" spans="1:7" ht="12.75">
      <c r="A29" s="175" t="s">
        <v>121</v>
      </c>
      <c r="B29" s="166">
        <f>Stromkosten!B27</f>
        <v>6540.800000000001</v>
      </c>
      <c r="C29" s="182" t="s">
        <v>121</v>
      </c>
      <c r="D29" s="181">
        <f>Stromkosten!F27</f>
        <v>6146.000000000001</v>
      </c>
      <c r="E29" s="184" t="s">
        <v>121</v>
      </c>
      <c r="F29" s="181">
        <f>Stromkosten!K27</f>
        <v>5938.8</v>
      </c>
      <c r="G29" s="103"/>
    </row>
    <row r="30" spans="1:7" ht="12.75">
      <c r="A30" s="182" t="s">
        <v>159</v>
      </c>
      <c r="B30" s="166">
        <f>'Dateneingabe und Ergebnisse'!F27*'Dateneingabe und Ergebnisse'!F25</f>
        <v>17667.327272727274</v>
      </c>
      <c r="C30" s="182" t="s">
        <v>159</v>
      </c>
      <c r="D30" s="181">
        <f>'Dateneingabe und Ergebnisse'!I27*'Dateneingabe und Ergebnisse'!I25</f>
        <v>16770.66795672578</v>
      </c>
      <c r="E30" s="184" t="s">
        <v>159</v>
      </c>
      <c r="F30" s="181">
        <f>'Dateneingabe und Ergebnisse'!L27*'Dateneingabe und Ergebnisse'!L25</f>
        <v>20491.740662070184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-2598.1722000000004</v>
      </c>
      <c r="E31" s="184" t="s">
        <v>160</v>
      </c>
      <c r="F31" s="181">
        <f>'ele. und th. Erlös'!J14</f>
        <v>-2598.1722000000004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23503.03618711386</v>
      </c>
      <c r="C34" s="122"/>
      <c r="D34" s="102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104726.6949094425</v>
      </c>
      <c r="E34" s="102"/>
      <c r="F34" s="102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23138.22180783513</v>
      </c>
      <c r="G34" s="122"/>
      <c r="K34" s="105">
        <f aca="true" t="shared" si="0" ref="K34:K65">($B$7^A34-1)/(($B$7-1)*$B$7^A34)</f>
        <v>0.970873786407767</v>
      </c>
      <c r="L34" s="105">
        <f aca="true" t="shared" si="1" ref="L34:L65">1/$B$7^A34</f>
        <v>0.970873786407767</v>
      </c>
    </row>
    <row r="35" spans="1:12" ht="12.75">
      <c r="A35">
        <v>2</v>
      </c>
      <c r="B35" s="102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46321.51792217578</v>
      </c>
      <c r="C35" s="122"/>
      <c r="D35" s="102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123878.8258894837</v>
      </c>
      <c r="E35" s="102"/>
      <c r="F35" s="102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45602.51482515071</v>
      </c>
      <c r="G35" s="122"/>
      <c r="K35" s="105">
        <f t="shared" si="0"/>
        <v>1.9134696955415182</v>
      </c>
      <c r="L35" s="105">
        <f t="shared" si="1"/>
        <v>0.9425959091337544</v>
      </c>
    </row>
    <row r="36" spans="1:12" ht="12.75">
      <c r="A36">
        <v>3</v>
      </c>
      <c r="B36" s="102">
        <f t="shared" si="2"/>
        <v>68475.38368437192</v>
      </c>
      <c r="C36" s="122"/>
      <c r="D36" s="102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142473.1278118539</v>
      </c>
      <c r="E36" s="102"/>
      <c r="F36" s="102">
        <f t="shared" si="3"/>
        <v>67412.50804584555</v>
      </c>
      <c r="G36" s="122"/>
      <c r="K36" s="105">
        <f t="shared" si="0"/>
        <v>2.8286113548946785</v>
      </c>
      <c r="L36" s="105">
        <f t="shared" si="1"/>
        <v>0.9151416593531596</v>
      </c>
    </row>
    <row r="37" spans="1:12" ht="12.75">
      <c r="A37">
        <v>4</v>
      </c>
      <c r="B37" s="102">
        <f t="shared" si="2"/>
        <v>89983.99122048456</v>
      </c>
      <c r="C37" s="122"/>
      <c r="D37" s="102">
        <f t="shared" si="4"/>
        <v>160525.84812483456</v>
      </c>
      <c r="E37" s="102"/>
      <c r="F37" s="102">
        <f t="shared" si="3"/>
        <v>88587.25874554917</v>
      </c>
      <c r="G37" s="122"/>
      <c r="K37" s="105">
        <f t="shared" si="0"/>
        <v>3.717098402810364</v>
      </c>
      <c r="L37" s="105">
        <f t="shared" si="1"/>
        <v>0.888487047915689</v>
      </c>
    </row>
    <row r="38" spans="1:12" ht="12.75">
      <c r="A38">
        <v>5</v>
      </c>
      <c r="B38" s="102">
        <f t="shared" si="2"/>
        <v>110866.13445942893</v>
      </c>
      <c r="C38" s="122"/>
      <c r="D38" s="102">
        <f t="shared" si="4"/>
        <v>178052.76105005853</v>
      </c>
      <c r="E38" s="102"/>
      <c r="F38" s="102">
        <f t="shared" si="3"/>
        <v>109145.26913361099</v>
      </c>
      <c r="G38" s="122"/>
      <c r="K38" s="105">
        <f t="shared" si="0"/>
        <v>4.5797071871945265</v>
      </c>
      <c r="L38" s="105">
        <f t="shared" si="1"/>
        <v>0.8626087843841641</v>
      </c>
    </row>
    <row r="39" spans="1:12" ht="12.75">
      <c r="A39">
        <v>6</v>
      </c>
      <c r="B39" s="102">
        <f t="shared" si="2"/>
        <v>131140.05993413224</v>
      </c>
      <c r="C39" s="122"/>
      <c r="D39" s="102">
        <f t="shared" si="4"/>
        <v>195069.18136581004</v>
      </c>
      <c r="E39" s="102"/>
      <c r="F39" s="102">
        <f t="shared" si="3"/>
        <v>129104.5025200788</v>
      </c>
      <c r="G39" s="122"/>
      <c r="K39" s="105">
        <f t="shared" si="0"/>
        <v>5.417191443878181</v>
      </c>
      <c r="L39" s="105">
        <f t="shared" si="1"/>
        <v>0.8374842566836544</v>
      </c>
    </row>
    <row r="40" spans="1:12" ht="12.75">
      <c r="A40">
        <v>7</v>
      </c>
      <c r="B40" s="102">
        <f t="shared" si="2"/>
        <v>150823.48272510635</v>
      </c>
      <c r="C40" s="122"/>
      <c r="D40" s="102">
        <f t="shared" si="4"/>
        <v>211589.97778886976</v>
      </c>
      <c r="E40" s="102"/>
      <c r="F40" s="102">
        <f t="shared" si="3"/>
        <v>148482.39901179515</v>
      </c>
      <c r="G40" s="122"/>
      <c r="K40" s="105">
        <f t="shared" si="0"/>
        <v>6.230282955221536</v>
      </c>
      <c r="L40" s="105">
        <f t="shared" si="1"/>
        <v>0.8130915113433538</v>
      </c>
    </row>
    <row r="41" spans="1:12" ht="12.75">
      <c r="A41">
        <v>8</v>
      </c>
      <c r="B41" s="102">
        <f t="shared" si="2"/>
        <v>169933.6019396442</v>
      </c>
      <c r="C41" s="122"/>
      <c r="D41" s="102">
        <f t="shared" si="4"/>
        <v>227629.58596659751</v>
      </c>
      <c r="E41" s="102"/>
      <c r="F41" s="102">
        <f t="shared" si="3"/>
        <v>167295.89075132547</v>
      </c>
      <c r="G41" s="122"/>
      <c r="K41" s="105">
        <f t="shared" si="0"/>
        <v>7.019692189535468</v>
      </c>
      <c r="L41" s="105">
        <f t="shared" si="1"/>
        <v>0.7894092343139357</v>
      </c>
    </row>
    <row r="42" spans="1:12" ht="12.75">
      <c r="A42">
        <v>9</v>
      </c>
      <c r="B42" s="102">
        <f t="shared" si="2"/>
        <v>188487.11574016648</v>
      </c>
      <c r="C42" s="122"/>
      <c r="D42" s="102">
        <f t="shared" si="4"/>
        <v>243202.02109060515</v>
      </c>
      <c r="E42" s="102"/>
      <c r="F42" s="102">
        <f t="shared" si="3"/>
        <v>185561.4167120346</v>
      </c>
      <c r="G42" s="122"/>
      <c r="K42" s="105">
        <f t="shared" si="0"/>
        <v>7.786108921879095</v>
      </c>
      <c r="L42" s="105">
        <f t="shared" si="1"/>
        <v>0.766416732343627</v>
      </c>
    </row>
    <row r="43" spans="1:12" ht="12.75">
      <c r="A43">
        <v>10</v>
      </c>
      <c r="B43" s="102">
        <f t="shared" si="2"/>
        <v>206500.23593484826</v>
      </c>
      <c r="C43" s="122"/>
      <c r="D43" s="102">
        <f t="shared" si="4"/>
        <v>258320.8901430397</v>
      </c>
      <c r="E43" s="102"/>
      <c r="F43" s="102">
        <f t="shared" si="3"/>
        <v>203294.93706223764</v>
      </c>
      <c r="G43" s="122"/>
      <c r="K43" s="105">
        <f t="shared" si="0"/>
        <v>8.53020283677582</v>
      </c>
      <c r="L43" s="105">
        <f t="shared" si="1"/>
        <v>0.7440939148967252</v>
      </c>
    </row>
    <row r="44" spans="1:12" ht="12.75">
      <c r="A44">
        <v>11</v>
      </c>
      <c r="B44" s="102">
        <f t="shared" si="2"/>
        <v>223988.70214327722</v>
      </c>
      <c r="C44" s="122"/>
      <c r="D44" s="102">
        <f t="shared" si="4"/>
        <v>272999.4037861801</v>
      </c>
      <c r="E44" s="102"/>
      <c r="F44" s="102">
        <f t="shared" si="3"/>
        <v>220511.94711097848</v>
      </c>
      <c r="G44" s="122"/>
      <c r="K44" s="105">
        <f t="shared" si="0"/>
        <v>9.252624113374582</v>
      </c>
      <c r="L44" s="105">
        <f t="shared" si="1"/>
        <v>0.7224212765987623</v>
      </c>
    </row>
    <row r="45" spans="1:13" ht="12.75">
      <c r="A45">
        <v>12</v>
      </c>
      <c r="B45" s="102">
        <f t="shared" si="2"/>
        <v>240967.79554951884</v>
      </c>
      <c r="C45" s="122"/>
      <c r="D45" s="102">
        <f t="shared" si="4"/>
        <v>287250.3879057338</v>
      </c>
      <c r="E45" s="102"/>
      <c r="F45" s="102">
        <f t="shared" si="3"/>
        <v>237227.49084761998</v>
      </c>
      <c r="G45" s="122"/>
      <c r="K45" s="105">
        <f t="shared" si="0"/>
        <v>9.954003993567552</v>
      </c>
      <c r="L45" s="105">
        <f t="shared" si="1"/>
        <v>0.7013798801929733</v>
      </c>
      <c r="M45">
        <f>(L45+L46)/2</f>
        <v>0.6911656100930756</v>
      </c>
    </row>
    <row r="46" spans="1:12" ht="12.75">
      <c r="A46">
        <v>13</v>
      </c>
      <c r="B46" s="102">
        <f t="shared" si="2"/>
        <v>257452.35225460783</v>
      </c>
      <c r="C46" s="122"/>
      <c r="D46" s="102">
        <f t="shared" si="4"/>
        <v>359835.37167583324</v>
      </c>
      <c r="E46" s="102"/>
      <c r="F46" s="102">
        <f t="shared" si="3"/>
        <v>253456.17408707776</v>
      </c>
      <c r="G46" s="122"/>
      <c r="K46" s="105">
        <f t="shared" si="0"/>
        <v>10.634955333560727</v>
      </c>
      <c r="L46" s="105">
        <f t="shared" si="1"/>
        <v>0.6809513399931779</v>
      </c>
    </row>
    <row r="47" spans="1:12" ht="12.75">
      <c r="A47">
        <v>14</v>
      </c>
      <c r="B47" s="102">
        <f t="shared" si="2"/>
        <v>273456.7762401312</v>
      </c>
      <c r="C47" s="122"/>
      <c r="D47" s="102">
        <f t="shared" si="4"/>
        <v>373268.2910080548</v>
      </c>
      <c r="E47" s="102"/>
      <c r="F47" s="102">
        <f t="shared" si="3"/>
        <v>269212.1772321825</v>
      </c>
      <c r="G47" s="122"/>
      <c r="K47" s="105">
        <f t="shared" si="0"/>
        <v>11.296073139379349</v>
      </c>
      <c r="L47" s="105">
        <f t="shared" si="1"/>
        <v>0.6611178058186192</v>
      </c>
    </row>
    <row r="48" spans="1:12" ht="12.75">
      <c r="A48">
        <v>15</v>
      </c>
      <c r="B48" s="102">
        <f t="shared" si="2"/>
        <v>288995.0519542315</v>
      </c>
      <c r="C48" s="122"/>
      <c r="D48" s="102">
        <f t="shared" si="4"/>
        <v>386309.96026263875</v>
      </c>
      <c r="E48" s="102"/>
      <c r="F48" s="102">
        <f t="shared" si="3"/>
        <v>284509.267664323</v>
      </c>
      <c r="G48" s="122"/>
      <c r="K48" s="105">
        <f t="shared" si="0"/>
        <v>11.937935086776067</v>
      </c>
      <c r="L48" s="105">
        <f t="shared" si="1"/>
        <v>0.6418619473967176</v>
      </c>
    </row>
    <row r="49" spans="1:12" ht="12.75">
      <c r="A49">
        <v>16</v>
      </c>
      <c r="B49" s="102">
        <f t="shared" si="2"/>
        <v>304080.75653102784</v>
      </c>
      <c r="C49" s="122"/>
      <c r="D49" s="102">
        <f t="shared" si="4"/>
        <v>398971.7750729143</v>
      </c>
      <c r="E49" s="102"/>
      <c r="F49" s="102">
        <f t="shared" si="3"/>
        <v>299360.81177319714</v>
      </c>
      <c r="G49" s="122"/>
      <c r="K49" s="105">
        <f t="shared" si="0"/>
        <v>12.561102025996176</v>
      </c>
      <c r="L49" s="105">
        <f t="shared" si="1"/>
        <v>0.6231669392201143</v>
      </c>
    </row>
    <row r="50" spans="1:12" ht="12.75">
      <c r="A50">
        <v>17</v>
      </c>
      <c r="B50" s="102">
        <f t="shared" si="2"/>
        <v>318727.07165413117</v>
      </c>
      <c r="C50" s="122"/>
      <c r="D50" s="102">
        <f t="shared" si="4"/>
        <v>411264.79916056065</v>
      </c>
      <c r="E50" s="102"/>
      <c r="F50" s="102">
        <f t="shared" si="3"/>
        <v>313779.7866361819</v>
      </c>
      <c r="G50" s="122"/>
      <c r="K50" s="105">
        <f t="shared" si="0"/>
        <v>13.166118471840948</v>
      </c>
      <c r="L50" s="105">
        <f t="shared" si="1"/>
        <v>0.6050164458447712</v>
      </c>
    </row>
    <row r="51" spans="1:12" ht="12.75">
      <c r="A51">
        <v>18</v>
      </c>
      <c r="B51" s="102">
        <f t="shared" si="2"/>
        <v>332946.7950746198</v>
      </c>
      <c r="C51" s="122"/>
      <c r="D51" s="102">
        <f t="shared" si="4"/>
        <v>423199.7740029357</v>
      </c>
      <c r="E51" s="102"/>
      <c r="F51" s="102">
        <f t="shared" si="3"/>
        <v>327778.79135752626</v>
      </c>
      <c r="G51" s="122"/>
      <c r="K51" s="105">
        <f t="shared" si="0"/>
        <v>13.75351307945723</v>
      </c>
      <c r="L51" s="105">
        <f t="shared" si="1"/>
        <v>0.5873946076162827</v>
      </c>
    </row>
    <row r="52" spans="1:12" ht="12.75">
      <c r="A52">
        <v>19</v>
      </c>
      <c r="B52" s="102">
        <f t="shared" si="2"/>
        <v>346752.3517935409</v>
      </c>
      <c r="C52" s="122"/>
      <c r="D52" s="102">
        <f t="shared" si="4"/>
        <v>434787.12821883376</v>
      </c>
      <c r="E52" s="102"/>
      <c r="F52" s="102">
        <f t="shared" si="3"/>
        <v>341370.0580772781</v>
      </c>
      <c r="G52" s="122"/>
      <c r="K52" s="105">
        <f t="shared" si="0"/>
        <v>14.323799106269155</v>
      </c>
      <c r="L52" s="105">
        <f t="shared" si="1"/>
        <v>0.570286026811925</v>
      </c>
    </row>
    <row r="53" spans="1:12" ht="12.75">
      <c r="A53">
        <v>20</v>
      </c>
      <c r="B53" s="102">
        <f t="shared" si="2"/>
        <v>360155.80491870694</v>
      </c>
      <c r="C53" s="122"/>
      <c r="D53" s="102">
        <f t="shared" si="4"/>
        <v>446036.98668087076</v>
      </c>
      <c r="E53" s="102"/>
      <c r="F53" s="102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354565.46265956137</v>
      </c>
      <c r="G53" s="122"/>
      <c r="K53" s="105">
        <f t="shared" si="0"/>
        <v>14.87747486045549</v>
      </c>
      <c r="L53" s="105">
        <f t="shared" si="1"/>
        <v>0.553675754186335</v>
      </c>
    </row>
    <row r="54" spans="1:12" ht="12.75">
      <c r="A54">
        <v>21</v>
      </c>
      <c r="B54" s="102">
        <f t="shared" si="2"/>
        <v>373168.86620527576</v>
      </c>
      <c r="C54" s="122"/>
      <c r="D54" s="102">
        <f t="shared" si="4"/>
        <v>456959.17936246</v>
      </c>
      <c r="E54" s="102"/>
      <c r="F54" s="102">
        <f t="shared" si="3"/>
        <v>367376.5350695451</v>
      </c>
      <c r="G54" s="122"/>
      <c r="K54" s="105">
        <f t="shared" si="0"/>
        <v>15.415024136364547</v>
      </c>
      <c r="L54" s="105">
        <f t="shared" si="1"/>
        <v>0.5375492759090631</v>
      </c>
    </row>
    <row r="55" spans="1:12" ht="12.75">
      <c r="A55">
        <v>22</v>
      </c>
      <c r="B55" s="102">
        <f t="shared" si="2"/>
        <v>385802.9062893234</v>
      </c>
      <c r="C55" s="122"/>
      <c r="D55" s="102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467563.24992710986</v>
      </c>
      <c r="E55" s="122"/>
      <c r="F55" s="102">
        <f t="shared" si="3"/>
        <v>379814.4694481702</v>
      </c>
      <c r="G55" s="122"/>
      <c r="K55" s="105">
        <f t="shared" si="0"/>
        <v>15.936916637247135</v>
      </c>
      <c r="L55" s="105">
        <f t="shared" si="1"/>
        <v>0.5218925008825855</v>
      </c>
    </row>
    <row r="56" spans="1:12" ht="12.75">
      <c r="A56">
        <v>23</v>
      </c>
      <c r="B56" s="102">
        <f t="shared" si="2"/>
        <v>398068.9646233502</v>
      </c>
      <c r="C56" s="122"/>
      <c r="D56" s="102">
        <f t="shared" si="4"/>
        <v>477858.4640675466</v>
      </c>
      <c r="E56" s="122"/>
      <c r="F56" s="102">
        <f t="shared" si="3"/>
        <v>391890.13389343733</v>
      </c>
      <c r="G56" s="122"/>
      <c r="K56" s="105">
        <f t="shared" si="0"/>
        <v>16.443608385676832</v>
      </c>
      <c r="L56" s="105">
        <f t="shared" si="1"/>
        <v>0.5066917484296947</v>
      </c>
    </row>
    <row r="57" spans="1:12" ht="12.75">
      <c r="A57">
        <v>24</v>
      </c>
      <c r="B57" s="102">
        <f t="shared" si="2"/>
        <v>409977.7591224052</v>
      </c>
      <c r="C57" s="122"/>
      <c r="D57" s="102">
        <f t="shared" si="4"/>
        <v>487853.8176019511</v>
      </c>
      <c r="E57" s="122"/>
      <c r="F57" s="102">
        <f t="shared" si="3"/>
        <v>403614.0799568033</v>
      </c>
      <c r="G57" s="122"/>
      <c r="K57" s="105">
        <f t="shared" si="0"/>
        <v>16.935542122016336</v>
      </c>
      <c r="L57" s="105">
        <f t="shared" si="1"/>
        <v>0.49193373633950943</v>
      </c>
    </row>
    <row r="58" spans="1:12" ht="12.75">
      <c r="A58">
        <v>25</v>
      </c>
      <c r="B58" s="102">
        <f t="shared" si="2"/>
        <v>421539.6955292548</v>
      </c>
      <c r="C58" s="122"/>
      <c r="D58" s="102">
        <f t="shared" si="4"/>
        <v>497558.0443343827</v>
      </c>
      <c r="E58" s="122"/>
      <c r="F58" s="102">
        <f t="shared" si="3"/>
        <v>414996.5518629839</v>
      </c>
      <c r="G58" s="122"/>
      <c r="K58" s="105">
        <f t="shared" si="0"/>
        <v>17.413147691277995</v>
      </c>
      <c r="L58" s="105">
        <f t="shared" si="1"/>
        <v>0.47760556926165965</v>
      </c>
    </row>
    <row r="59" spans="1:12" ht="12.75">
      <c r="A59">
        <v>26</v>
      </c>
      <c r="B59" s="102">
        <f t="shared" si="2"/>
        <v>432764.87650677876</v>
      </c>
      <c r="C59" s="122"/>
      <c r="D59" s="102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547576.0970734992</v>
      </c>
      <c r="E59" s="122"/>
      <c r="F59" s="102">
        <f t="shared" si="3"/>
        <v>426047.49546121765</v>
      </c>
      <c r="G59" s="122"/>
      <c r="K59" s="105">
        <f t="shared" si="0"/>
        <v>17.876842418716503</v>
      </c>
      <c r="L59" s="105">
        <f t="shared" si="1"/>
        <v>0.4636947274385045</v>
      </c>
    </row>
    <row r="60" spans="1:12" ht="12.75">
      <c r="A60">
        <v>27</v>
      </c>
      <c r="B60" s="102">
        <f t="shared" si="2"/>
        <v>443663.11046553974</v>
      </c>
      <c r="C60" s="122"/>
      <c r="D60" s="102">
        <f t="shared" si="4"/>
        <v>556723.2614927955</v>
      </c>
      <c r="E60" s="122"/>
      <c r="F60" s="102">
        <f t="shared" si="3"/>
        <v>436776.5669158133</v>
      </c>
      <c r="G60" s="122"/>
      <c r="K60" s="105">
        <f t="shared" si="0"/>
        <v>18.327031474482038</v>
      </c>
      <c r="L60" s="105">
        <f t="shared" si="1"/>
        <v>0.45018905576553836</v>
      </c>
    </row>
    <row r="61" spans="1:12" ht="12.75">
      <c r="A61">
        <v>28</v>
      </c>
      <c r="B61" s="102">
        <f t="shared" si="2"/>
        <v>454243.92013423983</v>
      </c>
      <c r="C61" s="122"/>
      <c r="D61" s="102">
        <f t="shared" si="4"/>
        <v>565604.0036474525</v>
      </c>
      <c r="E61" s="122"/>
      <c r="F61" s="102">
        <f t="shared" si="3"/>
        <v>447193.14114357624</v>
      </c>
      <c r="G61" s="122"/>
      <c r="K61" s="105">
        <f t="shared" si="0"/>
        <v>18.764108227652464</v>
      </c>
      <c r="L61" s="105">
        <f t="shared" si="1"/>
        <v>0.4370767531704256</v>
      </c>
    </row>
    <row r="62" spans="1:12" ht="12.75">
      <c r="A62">
        <v>29</v>
      </c>
      <c r="B62" s="102">
        <f t="shared" si="2"/>
        <v>464516.55088055047</v>
      </c>
      <c r="C62" s="122"/>
      <c r="D62" s="102">
        <f t="shared" si="4"/>
        <v>574226.0834092549</v>
      </c>
      <c r="E62" s="122"/>
      <c r="F62" s="102">
        <f t="shared" si="3"/>
        <v>457306.3200054818</v>
      </c>
      <c r="G62" s="122"/>
      <c r="J62">
        <v>0</v>
      </c>
      <c r="K62" s="105">
        <f t="shared" si="0"/>
        <v>19.188454589953842</v>
      </c>
      <c r="L62" s="105">
        <f t="shared" si="1"/>
        <v>0.4243463623013841</v>
      </c>
    </row>
    <row r="63" spans="1:12" ht="12.75">
      <c r="A63">
        <v>30</v>
      </c>
      <c r="B63" s="102">
        <f t="shared" si="2"/>
        <v>474489.97878959007</v>
      </c>
      <c r="C63" s="122"/>
      <c r="D63" s="102">
        <f t="shared" si="4"/>
        <v>582597.0346343061</v>
      </c>
      <c r="E63" s="122"/>
      <c r="F63" s="102">
        <f t="shared" si="3"/>
        <v>467124.9402597592</v>
      </c>
      <c r="G63" s="122"/>
      <c r="J63">
        <v>0</v>
      </c>
      <c r="K63" s="105">
        <f t="shared" si="0"/>
        <v>19.60044134946975</v>
      </c>
      <c r="L63" s="105">
        <f t="shared" si="1"/>
        <v>0.4119867595159069</v>
      </c>
    </row>
    <row r="64" spans="1:12" ht="12.75">
      <c r="A64">
        <v>31</v>
      </c>
      <c r="B64" s="102">
        <f t="shared" si="2"/>
        <v>484172.9185071042</v>
      </c>
      <c r="C64" s="122"/>
      <c r="D64" s="102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590724.1717460065</v>
      </c>
      <c r="E64" s="122"/>
      <c r="F64" s="102">
        <f t="shared" si="3"/>
        <v>476657.5812833296</v>
      </c>
      <c r="G64" s="122"/>
      <c r="J64">
        <v>0</v>
      </c>
      <c r="K64" s="105">
        <f t="shared" si="0"/>
        <v>20.000428494630828</v>
      </c>
      <c r="L64" s="105">
        <f t="shared" si="1"/>
        <v>0.3999871451610746</v>
      </c>
    </row>
    <row r="65" spans="1:12" ht="12.75">
      <c r="A65">
        <v>32</v>
      </c>
      <c r="B65" s="102">
        <f t="shared" si="2"/>
        <v>493573.8308542053</v>
      </c>
      <c r="C65" s="122"/>
      <c r="D65" s="102">
        <f t="shared" si="4"/>
        <v>598614.5961262977</v>
      </c>
      <c r="E65" s="122"/>
      <c r="F65" s="102">
        <f t="shared" si="3"/>
        <v>485912.5725683492</v>
      </c>
      <c r="G65" s="122"/>
      <c r="K65" s="105">
        <f t="shared" si="0"/>
        <v>20.38876552876779</v>
      </c>
      <c r="L65" s="105">
        <f t="shared" si="1"/>
        <v>0.3883370341369657</v>
      </c>
    </row>
    <row r="66" spans="1:12" ht="12.75">
      <c r="A66">
        <v>33</v>
      </c>
      <c r="B66" s="102">
        <f t="shared" si="2"/>
        <v>502700.93022032286</v>
      </c>
      <c r="C66" s="122"/>
      <c r="D66" s="102">
        <f t="shared" si="4"/>
        <v>606275.2023207555</v>
      </c>
      <c r="E66" s="122"/>
      <c r="F66" s="102">
        <f t="shared" si="3"/>
        <v>494898.00100040715</v>
      </c>
      <c r="G66" s="122"/>
      <c r="K66" s="105">
        <f aca="true" t="shared" si="5" ref="K66:K83">($B$7^A66-1)/(($B$7-1)*$B$7^A66)</f>
        <v>20.76579177550271</v>
      </c>
      <c r="L66" s="105">
        <f aca="true" t="shared" si="6" ref="L66:L82">1/$B$7^A66</f>
        <v>0.37702624673491814</v>
      </c>
    </row>
    <row r="67" spans="1:12" ht="12.75">
      <c r="A67">
        <v>34</v>
      </c>
      <c r="B67" s="102">
        <f t="shared" si="2"/>
        <v>511562.1917408253</v>
      </c>
      <c r="C67" s="122"/>
      <c r="D67" s="102">
        <f t="shared" si="4"/>
        <v>613712.6840629473</v>
      </c>
      <c r="E67" s="122"/>
      <c r="F67" s="102">
        <f t="shared" si="3"/>
        <v>503621.7179247352</v>
      </c>
      <c r="G67" s="122"/>
      <c r="K67" s="105">
        <f t="shared" si="5"/>
        <v>21.131836675245346</v>
      </c>
      <c r="L67" s="105">
        <f t="shared" si="6"/>
        <v>0.36604489974263904</v>
      </c>
    </row>
    <row r="68" spans="1:12" ht="12.75">
      <c r="A68">
        <v>35</v>
      </c>
      <c r="B68" s="102">
        <f t="shared" si="2"/>
        <v>520165.35826558503</v>
      </c>
      <c r="C68" s="122"/>
      <c r="D68" s="102">
        <f t="shared" si="4"/>
        <v>620933.5401233279</v>
      </c>
      <c r="E68" s="122"/>
      <c r="F68" s="102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512091.3460066072</v>
      </c>
      <c r="G68" s="122"/>
      <c r="K68" s="105">
        <f t="shared" si="5"/>
        <v>21.487220073053734</v>
      </c>
      <c r="L68" s="105">
        <f t="shared" si="6"/>
        <v>0.35538339780838735</v>
      </c>
    </row>
    <row r="69" spans="1:12" ht="12.75">
      <c r="A69">
        <v>36</v>
      </c>
      <c r="B69" s="102">
        <f t="shared" si="2"/>
        <v>528517.947124575</v>
      </c>
      <c r="C69" s="122"/>
      <c r="D69" s="102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627944.0799877748</v>
      </c>
      <c r="E69" s="122"/>
      <c r="F69" s="102">
        <f t="shared" si="3"/>
        <v>520314.28589191975</v>
      </c>
      <c r="G69" s="122"/>
      <c r="K69" s="105">
        <f t="shared" si="5"/>
        <v>21.83225249811042</v>
      </c>
      <c r="L69" s="105">
        <f t="shared" si="6"/>
        <v>0.34503242505668674</v>
      </c>
    </row>
    <row r="70" spans="1:13" ht="12.75">
      <c r="A70">
        <v>37</v>
      </c>
      <c r="B70" s="102">
        <f t="shared" si="2"/>
        <v>536627.25669641</v>
      </c>
      <c r="C70" s="122"/>
      <c r="D70" s="102">
        <f t="shared" si="4"/>
        <v>634750.4293707332</v>
      </c>
      <c r="E70" s="122"/>
      <c r="F70" s="102">
        <f t="shared" si="3"/>
        <v>528297.7226737767</v>
      </c>
      <c r="G70" s="122"/>
      <c r="K70" s="105">
        <f t="shared" si="5"/>
        <v>22.16723543505866</v>
      </c>
      <c r="L70" s="105">
        <f t="shared" si="6"/>
        <v>0.3349829369482396</v>
      </c>
      <c r="M70" s="105">
        <f>(L70+L71)/2</f>
        <v>0.33010454466258565</v>
      </c>
    </row>
    <row r="71" spans="1:13" ht="12.75">
      <c r="A71">
        <v>38</v>
      </c>
      <c r="B71" s="102">
        <f t="shared" si="2"/>
        <v>544500.3727855701</v>
      </c>
      <c r="C71" s="122"/>
      <c r="D71" s="102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669417.4218641</v>
      </c>
      <c r="E71" s="122"/>
      <c r="F71" s="102">
        <f t="shared" si="3"/>
        <v>536048.632170725</v>
      </c>
      <c r="G71" s="122"/>
      <c r="K71" s="105">
        <f t="shared" si="5"/>
        <v>22.492461587435592</v>
      </c>
      <c r="L71" s="105">
        <f t="shared" si="6"/>
        <v>0.3252261523769317</v>
      </c>
      <c r="M71" s="105"/>
    </row>
    <row r="72" spans="1:12" ht="12.75">
      <c r="A72">
        <v>39</v>
      </c>
      <c r="B72" s="102">
        <f t="shared" si="2"/>
        <v>552144.1748138809</v>
      </c>
      <c r="C72" s="122"/>
      <c r="D72" s="102">
        <f t="shared" si="4"/>
        <v>675833.0589486116</v>
      </c>
      <c r="E72" s="122"/>
      <c r="F72" s="102">
        <f t="shared" si="3"/>
        <v>543573.7870221313</v>
      </c>
      <c r="G72" s="122"/>
      <c r="K72" s="105">
        <f t="shared" si="5"/>
        <v>22.80821513343261</v>
      </c>
      <c r="L72" s="105">
        <f t="shared" si="6"/>
        <v>0.315753545997021</v>
      </c>
    </row>
    <row r="73" spans="1:12" ht="12.75">
      <c r="A73">
        <v>40</v>
      </c>
      <c r="B73" s="102">
        <f t="shared" si="2"/>
        <v>559565.3418316585</v>
      </c>
      <c r="C73" s="122"/>
      <c r="D73" s="102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682061.8328170695</v>
      </c>
      <c r="E73" s="122"/>
      <c r="F73" s="102">
        <f t="shared" si="3"/>
        <v>550879.7626060208</v>
      </c>
      <c r="G73" s="122"/>
      <c r="K73" s="105">
        <f t="shared" si="5"/>
        <v>23.11477197420642</v>
      </c>
      <c r="L73" s="105">
        <f t="shared" si="6"/>
        <v>0.30655684077380685</v>
      </c>
    </row>
    <row r="74" spans="1:12" ht="12.75">
      <c r="A74">
        <v>41</v>
      </c>
      <c r="B74" s="102">
        <f t="shared" si="2"/>
        <v>566770.3583537725</v>
      </c>
      <c r="C74" s="122"/>
      <c r="D74" s="102">
        <f t="shared" si="4"/>
        <v>688109.1860874167</v>
      </c>
      <c r="E74" s="122"/>
      <c r="F74" s="102">
        <f t="shared" si="3"/>
        <v>557972.9427845543</v>
      </c>
      <c r="G74" s="122"/>
      <c r="K74" s="105">
        <f t="shared" si="5"/>
        <v>23.412399974957687</v>
      </c>
      <c r="L74" s="105">
        <f t="shared" si="6"/>
        <v>0.2976280007512688</v>
      </c>
    </row>
    <row r="75" spans="1:12" ht="12.75">
      <c r="A75">
        <v>42</v>
      </c>
      <c r="B75" s="102">
        <f t="shared" si="2"/>
        <v>573765.5200257279</v>
      </c>
      <c r="C75" s="122"/>
      <c r="D75" s="102">
        <f t="shared" si="4"/>
        <v>693980.4028547443</v>
      </c>
      <c r="E75" s="122"/>
      <c r="F75" s="102">
        <f t="shared" si="3"/>
        <v>564859.5254821597</v>
      </c>
      <c r="G75" s="122"/>
      <c r="K75" s="105">
        <f t="shared" si="5"/>
        <v>23.701359198988044</v>
      </c>
      <c r="L75" s="105">
        <f t="shared" si="6"/>
        <v>0.288959224030358</v>
      </c>
    </row>
    <row r="76" spans="1:12" ht="12.75">
      <c r="A76">
        <v>43</v>
      </c>
      <c r="B76" s="102">
        <f t="shared" si="2"/>
        <v>580556.9391247138</v>
      </c>
      <c r="C76" s="122"/>
      <c r="D76" s="102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699680.6133084605</v>
      </c>
      <c r="E76" s="122"/>
      <c r="F76" s="102">
        <f t="shared" si="3"/>
        <v>571545.528101194</v>
      </c>
      <c r="G76" s="122"/>
      <c r="K76" s="105">
        <f t="shared" si="5"/>
        <v>23.981902134939848</v>
      </c>
      <c r="L76" s="105">
        <f t="shared" si="6"/>
        <v>0.2805429359518039</v>
      </c>
    </row>
    <row r="77" spans="1:12" ht="12.75">
      <c r="A77">
        <v>44</v>
      </c>
      <c r="B77" s="102">
        <f t="shared" si="2"/>
        <v>587150.5499004282</v>
      </c>
      <c r="C77" s="122"/>
      <c r="D77" s="102">
        <f t="shared" si="4"/>
        <v>705214.7982149811</v>
      </c>
      <c r="E77" s="122"/>
      <c r="F77" s="102">
        <f t="shared" si="3"/>
        <v>578036.7927798681</v>
      </c>
      <c r="G77" s="122"/>
      <c r="K77" s="105">
        <f t="shared" si="5"/>
        <v>24.25427391741733</v>
      </c>
      <c r="L77" s="105">
        <f t="shared" si="6"/>
        <v>0.27237178247747956</v>
      </c>
    </row>
    <row r="78" spans="1:12" ht="12.75">
      <c r="A78">
        <v>45</v>
      </c>
      <c r="B78" s="102">
        <f t="shared" si="2"/>
        <v>593552.113760345</v>
      </c>
      <c r="C78" s="122"/>
      <c r="D78" s="102">
        <f t="shared" si="4"/>
        <v>710587.7932698552</v>
      </c>
      <c r="E78" s="122"/>
      <c r="F78" s="102">
        <f t="shared" si="3"/>
        <v>584338.9914970275</v>
      </c>
      <c r="G78" s="122"/>
      <c r="K78" s="105">
        <f t="shared" si="5"/>
        <v>24.51871254118187</v>
      </c>
      <c r="L78" s="105">
        <f t="shared" si="6"/>
        <v>0.26443862376454325</v>
      </c>
    </row>
    <row r="79" spans="1:12" ht="12.75">
      <c r="A79">
        <v>46</v>
      </c>
      <c r="B79" s="102">
        <f t="shared" si="2"/>
        <v>599767.2243039537</v>
      </c>
      <c r="C79" s="122"/>
      <c r="D79" s="102">
        <f t="shared" si="4"/>
        <v>715804.2933231313</v>
      </c>
      <c r="E79" s="122"/>
      <c r="F79" s="102">
        <f t="shared" si="3"/>
        <v>590457.6310282501</v>
      </c>
      <c r="G79" s="122"/>
      <c r="K79" s="105">
        <f t="shared" si="5"/>
        <v>24.77544906910861</v>
      </c>
      <c r="L79" s="105">
        <f t="shared" si="6"/>
        <v>0.256736527926741</v>
      </c>
    </row>
    <row r="80" spans="1:12" ht="12.75">
      <c r="A80">
        <v>47</v>
      </c>
      <c r="B80" s="102">
        <f t="shared" si="2"/>
        <v>605801.3122103699</v>
      </c>
      <c r="C80" s="122"/>
      <c r="D80" s="102">
        <f t="shared" si="4"/>
        <v>720868.8564816518</v>
      </c>
      <c r="E80" s="122"/>
      <c r="F80" s="102">
        <f t="shared" si="3"/>
        <v>596398.0577575925</v>
      </c>
      <c r="G80" s="122"/>
      <c r="K80" s="105">
        <f t="shared" si="5"/>
        <v>25.02470783408603</v>
      </c>
      <c r="L80" s="105">
        <f t="shared" si="6"/>
        <v>0.24925876497741845</v>
      </c>
    </row>
    <row r="81" spans="1:12" ht="12.75">
      <c r="A81">
        <v>48</v>
      </c>
      <c r="B81" s="102">
        <f t="shared" si="2"/>
        <v>611659.6499835894</v>
      </c>
      <c r="C81" s="122"/>
      <c r="D81" s="102">
        <f t="shared" si="4"/>
        <v>725785.9080918657</v>
      </c>
      <c r="E81" s="122"/>
      <c r="F81" s="102">
        <f t="shared" si="3"/>
        <v>602165.462349187</v>
      </c>
      <c r="G81" s="122"/>
      <c r="K81" s="105">
        <f t="shared" si="5"/>
        <v>25.26670663503498</v>
      </c>
      <c r="L81" s="105">
        <f t="shared" si="6"/>
        <v>0.24199880094894996</v>
      </c>
    </row>
    <row r="82" spans="1:12" ht="12.75">
      <c r="A82">
        <v>49</v>
      </c>
      <c r="B82" s="102">
        <f t="shared" si="2"/>
        <v>617347.3565595307</v>
      </c>
      <c r="C82" s="122"/>
      <c r="D82" s="102">
        <f t="shared" si="4"/>
        <v>730559.7446066365</v>
      </c>
      <c r="E82" s="122"/>
      <c r="F82" s="102">
        <f t="shared" si="3"/>
        <v>607764.884282774</v>
      </c>
      <c r="G82" s="122"/>
      <c r="K82" s="105">
        <f t="shared" si="5"/>
        <v>25.501656927218423</v>
      </c>
      <c r="L82" s="105">
        <f t="shared" si="6"/>
        <v>0.2349502921834466</v>
      </c>
    </row>
    <row r="83" spans="1:13" ht="12.75">
      <c r="A83">
        <v>50</v>
      </c>
      <c r="B83" s="102">
        <f t="shared" si="2"/>
        <v>622869.4017788912</v>
      </c>
      <c r="C83" s="122"/>
      <c r="D83" s="102">
        <f t="shared" si="4"/>
        <v>735194.5373394238</v>
      </c>
      <c r="E83" s="122"/>
      <c r="F83" s="102">
        <f t="shared" si="3"/>
        <v>613201.2162571303</v>
      </c>
      <c r="G83" s="122"/>
      <c r="K83" s="105">
        <f t="shared" si="5"/>
        <v>25.72976400700818</v>
      </c>
      <c r="L83" s="105">
        <v>0</v>
      </c>
      <c r="M83" s="102">
        <f>G27+SUM(G29:G31)*K83+G27*M45+G27*L58+G27*M70+G27*L83</f>
        <v>0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2000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13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400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>
        <f>$B$24/($B$21/100)/1000</f>
        <v>11.239726457682035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112.39726457682036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0.936643871473503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9.45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0.0378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9.45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25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1.2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1.3999999999999997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121.84726457682036</v>
      </c>
      <c r="C42" s="66" t="s">
        <v>60</v>
      </c>
      <c r="E42"/>
    </row>
    <row r="43" spans="1:5" ht="12.75">
      <c r="A43" s="3" t="s">
        <v>101</v>
      </c>
      <c r="B43" s="67">
        <f>B31+B23</f>
        <v>11.277526457682036</v>
      </c>
      <c r="C43" s="66" t="s">
        <v>0</v>
      </c>
      <c r="E43"/>
    </row>
    <row r="44" spans="1:5" ht="12.75">
      <c r="A44" s="3" t="s">
        <v>128</v>
      </c>
      <c r="B44" s="67">
        <f>(B42/1000)/B43*100</f>
        <v>1.080443171949469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92.57038710546922</v>
      </c>
      <c r="C47" s="66" t="s">
        <v>6</v>
      </c>
      <c r="E47"/>
    </row>
    <row r="48" spans="1:5" ht="12.75">
      <c r="A48" s="3" t="s">
        <v>69</v>
      </c>
      <c r="B48" s="67">
        <f>B22/100*B24</f>
        <v>65.19041345455581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2000</v>
      </c>
      <c r="C52" s="149" t="s">
        <v>9</v>
      </c>
      <c r="D52" s="51"/>
      <c r="E52" s="12"/>
    </row>
    <row r="53" spans="1:5" ht="15.75">
      <c r="A53" s="3" t="s">
        <v>33</v>
      </c>
      <c r="B53" s="18">
        <f>B9*B7*10^3/(0.06*10^6)</f>
        <v>2000</v>
      </c>
      <c r="C53" s="149" t="s">
        <v>9</v>
      </c>
      <c r="D53" s="51"/>
      <c r="E53" s="12"/>
    </row>
    <row r="54" spans="1:5" ht="15.75">
      <c r="A54" s="3" t="s">
        <v>35</v>
      </c>
      <c r="B54" s="18">
        <f>(B10*B7*10^3/10^6)/0.011</f>
        <v>2000.0000000000002</v>
      </c>
      <c r="C54" s="149" t="s">
        <v>9</v>
      </c>
      <c r="D54" s="51"/>
      <c r="E54" s="12"/>
    </row>
    <row r="55" spans="1:5" ht="15.75">
      <c r="A55" s="3" t="s">
        <v>42</v>
      </c>
      <c r="B55" s="18">
        <f>B11*B7*10^3/(0.0065*10^6)</f>
        <v>2000</v>
      </c>
      <c r="C55" s="149" t="s">
        <v>9</v>
      </c>
      <c r="D55" s="51"/>
      <c r="E55" s="12"/>
    </row>
    <row r="56" spans="1:5" ht="15.75">
      <c r="A56" s="3" t="s">
        <v>34</v>
      </c>
      <c r="B56" s="18">
        <f>B12*B7*10^3/(0.0017*10^6)</f>
        <v>2000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56.19863228841018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32.595206727277905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>
        <f>B42*B22/100*B65/1000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>
        <f>B68*B69/100</f>
        <v>0</v>
      </c>
      <c r="C70" s="66" t="s">
        <v>1</v>
      </c>
      <c r="D70" s="109"/>
      <c r="E70" s="109"/>
    </row>
    <row r="71" spans="1:5" ht="15.75">
      <c r="A71" s="4" t="s">
        <v>44</v>
      </c>
      <c r="B71" s="58">
        <f>B70*365/B3</f>
        <v>0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>
        <f>SUM(B71:B74)</f>
        <v>0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>
        <f>B80+B81</f>
        <v>21.10303446783631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>
        <f>(B106+B107)/2</f>
        <v>17.60303446783631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3.5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>
        <f>B83+B84+B85</f>
        <v>2.0581485785269713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>
        <f>B92</f>
        <v>2.0581485785269713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>
        <f>B43*B90</f>
        <v>11.277526457682036</v>
      </c>
      <c r="C91" s="7" t="s">
        <v>1</v>
      </c>
      <c r="D91" s="82"/>
      <c r="E91" s="82"/>
    </row>
    <row r="92" spans="1:5" ht="15.75">
      <c r="A92" s="116" t="s">
        <v>139</v>
      </c>
      <c r="B92" s="118">
        <f>B91*365/B3</f>
        <v>2.0581485785269713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>
        <f>((B80+B81)/365*B3)/(B8*B7*10^3/10^6)</f>
        <v>0.48180443990493854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1.2440662413935928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>
        <f>$B$99*$B$9*$B$3*$B$4/10^6</f>
        <v>149.28794896723113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>
        <f>B100/(B8*B7*10^3/10^6)</f>
        <v>0.6220331206967964</v>
      </c>
      <c r="C101" s="15" t="s">
        <v>12</v>
      </c>
      <c r="D101" s="50"/>
      <c r="E101" s="29"/>
    </row>
    <row r="102" spans="1:5" ht="12.75">
      <c r="A102" s="3" t="s">
        <v>25</v>
      </c>
      <c r="B102" s="69">
        <f>(B10*B7*10^3/10^6)-(B15*B7*10^3/10^6)-(B46*B24)</f>
        <v>12.828082062695389</v>
      </c>
      <c r="C102" s="15" t="s">
        <v>6</v>
      </c>
      <c r="D102" s="50"/>
      <c r="E102" s="29"/>
    </row>
    <row r="103" spans="1:5" ht="12.75">
      <c r="A103" s="3" t="s">
        <v>26</v>
      </c>
      <c r="B103" s="73">
        <f>B100+B102*1.7+B17*B7*10^3/10^6*4.56</f>
        <v>188.42368847381329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>
        <f>B103/B108</f>
        <v>125.61579231587552</v>
      </c>
      <c r="C104" s="15" t="s">
        <v>1</v>
      </c>
      <c r="D104" s="80"/>
      <c r="E104" s="30"/>
    </row>
    <row r="105" spans="1:5" ht="12.75">
      <c r="A105" s="3" t="s">
        <v>17</v>
      </c>
      <c r="B105" s="69">
        <f>B103/B109</f>
        <v>67.29417445493333</v>
      </c>
      <c r="C105" s="15" t="s">
        <v>1</v>
      </c>
      <c r="D105" s="80"/>
      <c r="E105" s="29"/>
    </row>
    <row r="106" spans="1:6" ht="15.75">
      <c r="A106" s="3" t="s">
        <v>18</v>
      </c>
      <c r="B106" s="69">
        <f>B103*365/(B108*B3)</f>
        <v>22.924882097647284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>
        <f>B103*365/(B109*B3)</f>
        <v>12.28118683802533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>
        <f>B35*B124</f>
        <v>4214.897421630763</v>
      </c>
      <c r="C112" s="152" t="s">
        <v>229</v>
      </c>
      <c r="D112" s="50"/>
    </row>
    <row r="113" spans="1:4" ht="12.75">
      <c r="A113" s="3" t="s">
        <v>227</v>
      </c>
      <c r="B113" s="153">
        <f>B112/B114</f>
        <v>1204.2564061802182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3.5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>
        <f>B115*B113</f>
        <v>421.48974216307636</v>
      </c>
      <c r="C116" s="152" t="s">
        <v>232</v>
      </c>
      <c r="D116" s="50"/>
    </row>
    <row r="117" spans="1:4" ht="12.75">
      <c r="A117" s="3" t="s">
        <v>235</v>
      </c>
      <c r="B117" s="153">
        <f>B113*(1-B115)</f>
        <v>782.7666640171418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>
        <f>$B$124/($B$21/100)/1000</f>
        <v>16.859589686523055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>
        <f>$B$9*$B$4*'Dateneingabe und Ergebnisse'!$F$5/10^6*$B$26</f>
        <v>168.59589686523054</v>
      </c>
      <c r="C124" s="66" t="s">
        <v>60</v>
      </c>
      <c r="E124"/>
    </row>
    <row r="125" spans="1:7" ht="12.75">
      <c r="A125" s="3" t="s">
        <v>84</v>
      </c>
      <c r="B125" s="67">
        <f>$E$13*'Dateneingabe und Ergebnisse'!$F$5/($B$9*$B$4*'Dateneingabe und Ergebnisse'!$F$5/10^6)</f>
        <v>1.1666666666666667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>
        <f>0.6*($B$25+1)-(0.072*0.6*(1.072^($B$6-15)))/(1/$B$35+0.08*(1.072^(10-15)))</f>
        <v>0.936643871473503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2000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13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400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>
        <f>$B$24/($B$21/100)/1000</f>
        <v>12.183696611034959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121.8369661103496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1.01530805091958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9.45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0.0378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9.45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1.2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1.3999999999999997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131.2869661103496</v>
      </c>
      <c r="C42" s="66" t="s">
        <v>60</v>
      </c>
      <c r="E42"/>
    </row>
    <row r="43" spans="1:5" ht="12.75">
      <c r="A43" s="3" t="s">
        <v>101</v>
      </c>
      <c r="B43" s="67">
        <f>B31+B23</f>
        <v>12.22149661103496</v>
      </c>
      <c r="C43" s="66" t="s">
        <v>0</v>
      </c>
      <c r="E43"/>
    </row>
    <row r="44" spans="1:5" ht="12.75">
      <c r="A44" s="10" t="s">
        <v>128</v>
      </c>
      <c r="B44" s="67">
        <f>(B42/1000)/B43*100</f>
        <v>1.0742298614378272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108.99534988231875</v>
      </c>
      <c r="C47" s="66" t="s">
        <v>6</v>
      </c>
      <c r="E47"/>
    </row>
    <row r="48" spans="1:5" ht="12.75">
      <c r="A48" s="3" t="s">
        <v>69</v>
      </c>
      <c r="B48" s="67">
        <f>B22/100*B24</f>
        <v>76.75728864952025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2000</v>
      </c>
      <c r="C52" s="63" t="s">
        <v>9</v>
      </c>
      <c r="D52" s="51"/>
      <c r="E52" s="12"/>
    </row>
    <row r="53" spans="1:5" ht="15.75">
      <c r="A53" s="3" t="s">
        <v>33</v>
      </c>
      <c r="B53" s="18">
        <f>B9*B7*10^3/(0.06*10^6)</f>
        <v>2000</v>
      </c>
      <c r="C53" s="63" t="s">
        <v>9</v>
      </c>
      <c r="D53" s="51"/>
      <c r="E53" s="12"/>
    </row>
    <row r="54" spans="1:5" ht="15.75">
      <c r="A54" s="3" t="s">
        <v>35</v>
      </c>
      <c r="B54" s="18">
        <f>(B10*B7*10^3/10^6)/0.011</f>
        <v>2000.0000000000002</v>
      </c>
      <c r="C54" s="63" t="s">
        <v>9</v>
      </c>
      <c r="D54" s="51"/>
      <c r="E54" s="12"/>
    </row>
    <row r="55" spans="1:5" ht="15.75">
      <c r="A55" s="3" t="s">
        <v>42</v>
      </c>
      <c r="B55" s="18">
        <f>B11*B7*10^3/(0.0065*10^6)</f>
        <v>2000</v>
      </c>
      <c r="C55" s="63" t="s">
        <v>9</v>
      </c>
      <c r="D55" s="51"/>
      <c r="E55" s="12"/>
    </row>
    <row r="56" spans="1:5" ht="15.75">
      <c r="A56" s="3" t="s">
        <v>34</v>
      </c>
      <c r="B56" s="18">
        <f>B12*B7*10^3/(0.0017*10^6)</f>
        <v>2000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60.9184830551748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38.378644324760124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9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18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108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36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55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38.88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59.400000000000006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60</v>
      </c>
      <c r="C73" s="66" t="s">
        <v>2</v>
      </c>
      <c r="D73" s="109"/>
      <c r="E73" s="109"/>
    </row>
    <row r="74" spans="1:5" ht="15.75">
      <c r="A74" s="4" t="s">
        <v>44</v>
      </c>
      <c r="B74" s="142">
        <f>B71*365/B3</f>
        <v>7.0956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>
        <f>SUM(B74:B77)</f>
        <v>7.0956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>
        <f>B83+B84</f>
        <v>19.05883451992439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>
        <f>(B116+B117)/2</f>
        <v>16.55883451992439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2.5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>
        <f>B86+B87+B88</f>
        <v>2.8890463845336782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>
        <f>B102</f>
        <v>0.7390463845336785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1.2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0.95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>
        <f>B43*B93</f>
        <v>0</v>
      </c>
      <c r="C94" s="7" t="s">
        <v>1</v>
      </c>
      <c r="D94" s="82"/>
      <c r="E94" s="82"/>
    </row>
    <row r="95" spans="1:5" ht="15.75">
      <c r="A95" s="116" t="s">
        <v>139</v>
      </c>
      <c r="B95" s="118">
        <f>B94*365/B3</f>
        <v>0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>
        <f>('Dateneingabe und Ergebnisse'!I19*'Dateneingabe und Ergebnisse'!I21/100)/B98*1000</f>
        <v>1.0123923075803816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>
        <f>B100*B99/24</f>
        <v>0.16873205126339694</v>
      </c>
      <c r="C101" s="7" t="s">
        <v>204</v>
      </c>
      <c r="E101"/>
    </row>
    <row r="102" spans="1:5" ht="12.75">
      <c r="A102" s="136" t="s">
        <v>143</v>
      </c>
      <c r="B102" s="138">
        <f>B101*24*365/'Variante A'!B3</f>
        <v>0.7390463845336785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>
        <f>((B83+B84)/365*B3)/(B8*B7*10^3/10^6)</f>
        <v>0.4351332082174518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>
        <f>$B$109*$B$9*$B$3*$B$4/10^6</f>
        <v>138.59220960085992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>
        <f>B110/(B8*B7*10^3/10^6)</f>
        <v>0.577467540003583</v>
      </c>
      <c r="C111" s="15" t="s">
        <v>12</v>
      </c>
      <c r="D111" s="50"/>
      <c r="E111" s="29"/>
    </row>
    <row r="112" spans="1:6" ht="12.75">
      <c r="A112" s="3" t="s">
        <v>25</v>
      </c>
      <c r="B112" s="69">
        <f>(B10*B7*10^3/10^6)-(B15*B7*10^3/10^6)-(B46*B24)</f>
        <v>12.544891016689512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>
        <f>B110+B112*1.7+B17*B7*10^3/10^6*4.56</f>
        <v>177.24652432923207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>
        <f>B113/B118</f>
        <v>118.16434955282138</v>
      </c>
      <c r="C114" s="15" t="s">
        <v>1</v>
      </c>
      <c r="D114" s="80"/>
      <c r="E114" s="30"/>
    </row>
    <row r="115" spans="1:5" ht="12.75">
      <c r="A115" s="3" t="s">
        <v>17</v>
      </c>
      <c r="B115" s="69">
        <f>B113/B119</f>
        <v>63.30233011758289</v>
      </c>
      <c r="C115" s="15" t="s">
        <v>1</v>
      </c>
      <c r="D115" s="80"/>
      <c r="E115" s="29"/>
    </row>
    <row r="116" spans="1:6" ht="15.75">
      <c r="A116" s="3" t="s">
        <v>18</v>
      </c>
      <c r="B116" s="69">
        <f>B113*365/(B118*B3)</f>
        <v>21.564993793389903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>
        <f>B113*365/(B119*B3)</f>
        <v>11.552675246458877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>
        <f>B35*B134</f>
        <v>2741.3317374828657</v>
      </c>
      <c r="C122" s="152" t="s">
        <v>229</v>
      </c>
      <c r="D122" s="50"/>
    </row>
    <row r="123" spans="1:4" ht="12.75">
      <c r="A123" s="3" t="s">
        <v>227</v>
      </c>
      <c r="B123" s="153">
        <f>B122/B124</f>
        <v>783.2376392808188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3.5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>
        <f>B125*B123</f>
        <v>274.1331737482866</v>
      </c>
      <c r="C126" s="152" t="s">
        <v>232</v>
      </c>
      <c r="D126" s="50"/>
    </row>
    <row r="127" spans="1:4" ht="12.75">
      <c r="A127" s="3" t="s">
        <v>235</v>
      </c>
      <c r="B127" s="153">
        <f>B123*(1-B125)</f>
        <v>509.10446553253223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>
        <f>$B$24/($B$21/100)/1000</f>
        <v>12.183696611034959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>
        <f>$B$9*$B$4*'Dateneingabe und Ergebnisse'!$F$5/10^6*$B$26</f>
        <v>182.7554491655244</v>
      </c>
      <c r="C134" s="66" t="s">
        <v>60</v>
      </c>
      <c r="E134"/>
    </row>
    <row r="135" spans="1:7" ht="12.75">
      <c r="A135" s="3" t="s">
        <v>84</v>
      </c>
      <c r="B135" s="67">
        <f>$E$13*'Dateneingabe und Ergebnisse'!$F$5/($B$9*$B$4*'Dateneingabe und Ergebnisse'!$F$5/10^6)</f>
        <v>1.1666666666666667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>
        <f>0.6*($B$25+1)-(0.072*0.6*(1.072^($B$6-15)))/(1/$B$35+0.08*(1.072^(10-15)))</f>
        <v>1.01530805091958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2000</v>
      </c>
      <c r="C2" s="22"/>
      <c r="F2" s="22"/>
      <c r="G2" s="22"/>
    </row>
    <row r="3" spans="1:7" ht="15" customHeight="1">
      <c r="A3" t="s">
        <v>211</v>
      </c>
      <c r="B3" s="106">
        <f>'Variante A'!B5</f>
        <v>13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14191.2</v>
      </c>
      <c r="G7" s="101"/>
      <c r="I7" s="124" t="s">
        <v>148</v>
      </c>
      <c r="J7" s="102">
        <f>'Variante F 1-2'!B71*365</f>
        <v>14191.2</v>
      </c>
      <c r="K7" s="101"/>
    </row>
    <row r="8" spans="5:11" ht="12.75">
      <c r="E8" s="124" t="s">
        <v>149</v>
      </c>
      <c r="F8" s="102">
        <f>'Variante F 1-2'!B72*365*('Variante F 1-2'!B73/100)</f>
        <v>13008.600000000002</v>
      </c>
      <c r="G8" s="101"/>
      <c r="I8" s="124" t="s">
        <v>149</v>
      </c>
      <c r="J8" s="102">
        <f>'Variante F 1-2'!B72*365*'Variante F 1-2'!B73/100</f>
        <v>13008.600000000002</v>
      </c>
      <c r="K8" s="101"/>
    </row>
    <row r="9" spans="5:10" ht="12.75">
      <c r="E9" s="124" t="s">
        <v>150</v>
      </c>
      <c r="F9" s="125">
        <f>'Dateneingabe und Ergebnisse'!I33*100</f>
        <v>14.000000000000002</v>
      </c>
      <c r="G9" s="101"/>
      <c r="I9" s="124" t="s">
        <v>150</v>
      </c>
      <c r="J9" s="125">
        <f>F9</f>
        <v>14.000000000000002</v>
      </c>
    </row>
    <row r="10" spans="5:10" ht="12.75">
      <c r="E10" s="124" t="s">
        <v>151</v>
      </c>
      <c r="F10" s="125">
        <f>'Dateneingabe und Ergebnisse'!I34*100</f>
        <v>4.7</v>
      </c>
      <c r="I10" s="124" t="s">
        <v>151</v>
      </c>
      <c r="J10" s="125">
        <f>F10</f>
        <v>4.7</v>
      </c>
    </row>
    <row r="11" spans="5:10" ht="12.75">
      <c r="E11" s="124" t="s">
        <v>152</v>
      </c>
      <c r="F11" s="103">
        <f>F9*F7</f>
        <v>198676.80000000005</v>
      </c>
      <c r="I11" s="124" t="s">
        <v>152</v>
      </c>
      <c r="J11" s="103">
        <f>J9*J7</f>
        <v>198676.80000000005</v>
      </c>
    </row>
    <row r="12" spans="5:10" ht="12.75">
      <c r="E12" s="124" t="s">
        <v>153</v>
      </c>
      <c r="F12" s="103">
        <f>F8*F10</f>
        <v>61140.42000000001</v>
      </c>
      <c r="I12" s="124" t="s">
        <v>153</v>
      </c>
      <c r="J12" s="103">
        <f>J8*J10</f>
        <v>61140.42000000001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-2598.1722000000004</v>
      </c>
      <c r="I14" s="101" t="s">
        <v>154</v>
      </c>
      <c r="J14" s="102">
        <f>(J12+J11)/100*(-1)</f>
        <v>-2598.1722000000004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J1" sqref="J1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2000</v>
      </c>
      <c r="D2" s="22"/>
      <c r="E2" s="6">
        <f>C2-('Dateneingabe und Ergebnisse'!F11)/'Dateneingabe und Ergebnisse'!F23*10000</f>
        <v>-8359.65055392262</v>
      </c>
      <c r="G2" s="22"/>
      <c r="H2" s="22"/>
      <c r="I2" s="22"/>
    </row>
    <row r="3" spans="1:9" ht="15" customHeight="1">
      <c r="A3" t="s">
        <v>211</v>
      </c>
      <c r="C3" s="106">
        <f>'Variante A'!B5</f>
        <v>13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1210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>
        <f>'Variante A'!B113</f>
        <v>1204.2564061802182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>
        <f>IF(C6&gt;C5,C6-C5,0)</f>
        <v>0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>
        <f>IF(C5&gt;'Variante F 1-2'!B123,E37,E38)</f>
        <v>0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>
        <f>IF(C7=0,0,C25+C28+C26*C7+C29*C7)</f>
        <v>0</v>
      </c>
      <c r="D10" s="48" t="s">
        <v>237</v>
      </c>
      <c r="I10" s="22"/>
    </row>
    <row r="11" spans="1:9" ht="12.75">
      <c r="A11" s="160"/>
      <c r="B11" s="48" t="s">
        <v>262</v>
      </c>
      <c r="C11" s="163">
        <f>IF(C7=0,0,C10/C7)</f>
        <v>0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4" ht="12.75">
      <c r="B28" t="s">
        <v>255</v>
      </c>
      <c r="C28" s="102">
        <f>B20*(100-C23)/100</f>
        <v>87500</v>
      </c>
      <c r="D28" t="s">
        <v>237</v>
      </c>
    </row>
    <row r="29" spans="2:4" ht="12.75">
      <c r="B29" t="s">
        <v>254</v>
      </c>
      <c r="C29" s="102">
        <f>B20*C23/100/C32</f>
        <v>46.18226600985221</v>
      </c>
      <c r="D29" t="s">
        <v>239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>
        <f>IF(E2&gt;F4,C34-(C34-C36)/(F3-F4)*E2,C34)</f>
        <v>50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>
        <f>IF(C36&gt;E35,C36,E35)</f>
        <v>50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>
        <f>IF(E2&lt;0,0,C40*E2)</f>
        <v>0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2012-10-23T09:02:54Z</cp:lastPrinted>
  <dcterms:created xsi:type="dcterms:W3CDTF">2007-10-03T13:22:06Z</dcterms:created>
  <dcterms:modified xsi:type="dcterms:W3CDTF">2012-10-25T09:50:49Z</dcterms:modified>
  <cp:category/>
  <cp:version/>
  <cp:contentType/>
  <cp:contentStatus/>
</cp:coreProperties>
</file>