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65401" windowWidth="9885" windowHeight="6180" tabRatio="937" activeTab="0"/>
  </bookViews>
  <sheets>
    <sheet name="Dateneingabe und Ergebnisse" sheetId="1" r:id="rId1"/>
    <sheet name="Projektkostenbarwertber. 25 a" sheetId="2" r:id="rId2"/>
    <sheet name="CO2-Bilanz" sheetId="3" state="hidden" r:id="rId3"/>
    <sheet name="CO2 Vergleich" sheetId="4" r:id="rId4"/>
    <sheet name="Stromkosten" sheetId="5" state="hidden" r:id="rId5"/>
    <sheet name="IK Becken Variante 2&amp;3 " sheetId="6" state="hidden" r:id="rId6"/>
    <sheet name="Projektkostenbarwertberechnung" sheetId="7" state="hidden" r:id="rId7"/>
    <sheet name="Variante A" sheetId="8" state="hidden" r:id="rId8"/>
    <sheet name="Variante F 1-2" sheetId="9" state="hidden" r:id="rId9"/>
    <sheet name="ele. und th. Erlös" sheetId="10" state="hidden" r:id="rId10"/>
    <sheet name="IK Becken Variante 1" sheetId="11" state="hidden" r:id="rId11"/>
  </sheets>
  <definedNames>
    <definedName name="_xlnm.Print_Area" localSheetId="0">'Dateneingabe und Ergebnisse'!$A$1:$L$73</definedName>
    <definedName name="_xlnm.Print_Area" localSheetId="4">'Stromkosten'!$A$1:$L$43</definedName>
    <definedName name="_xlnm.Print_Area" localSheetId="7">'Variante A'!$A$1:$I$118</definedName>
    <definedName name="_xlnm.Print_Area" localSheetId="8">'Variante F 1-2'!$A$1:$I$128</definedName>
  </definedNames>
  <calcPr fullCalcOnLoad="1"/>
</workbook>
</file>

<file path=xl/sharedStrings.xml><?xml version="1.0" encoding="utf-8"?>
<sst xmlns="http://schemas.openxmlformats.org/spreadsheetml/2006/main" count="1192" uniqueCount="558">
  <si>
    <t>m³/d</t>
  </si>
  <si>
    <t>kWh/d</t>
  </si>
  <si>
    <t>%</t>
  </si>
  <si>
    <t>Energiekennzahlen</t>
  </si>
  <si>
    <t>Ausbaugröße</t>
  </si>
  <si>
    <t>Untersuchungsjahr</t>
  </si>
  <si>
    <t>kg/d</t>
  </si>
  <si>
    <t>Abwasseranfall</t>
  </si>
  <si>
    <t>Anlagenkennzahlen</t>
  </si>
  <si>
    <t>E</t>
  </si>
  <si>
    <t>N/CSB</t>
  </si>
  <si>
    <t>BSB/CSB</t>
  </si>
  <si>
    <t>-</t>
  </si>
  <si>
    <t>EGW</t>
  </si>
  <si>
    <t>NH4-N-Ablaufkonzentration</t>
  </si>
  <si>
    <t>NO3-N-Ablaufkonzentration</t>
  </si>
  <si>
    <t>Pges.-Ablaufkonzentration</t>
  </si>
  <si>
    <t>erforderliche Belüftungsenergie min</t>
  </si>
  <si>
    <t>erforderliche Belüftungsenergie max</t>
  </si>
  <si>
    <t>2.1 Belüftung</t>
  </si>
  <si>
    <t>2.2 Rührwerk</t>
  </si>
  <si>
    <t>spez-oTS-Fracht aerob stabil. Schlamm</t>
  </si>
  <si>
    <t>OVC/CSBzu</t>
  </si>
  <si>
    <t>sonstige el. Energie auf ARA erzeugt</t>
  </si>
  <si>
    <t>spez. elektrischer Energieverbrauch</t>
  </si>
  <si>
    <t>denitrifizierte Stickstofffracht (DN)</t>
  </si>
  <si>
    <t>Gesamtatmung (OV)</t>
  </si>
  <si>
    <t>Kohlenstoffatmung (OVC) berechnet</t>
  </si>
  <si>
    <t>sonstige elektrische Energiekennzahlen</t>
  </si>
  <si>
    <t xml:space="preserve">Energiekennzahlen für Belüftungsenergie </t>
  </si>
  <si>
    <r>
      <t>kWh/EW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/a</t>
    </r>
  </si>
  <si>
    <r>
      <t>kWh/kg</t>
    </r>
    <r>
      <rPr>
        <vertAlign val="subscript"/>
        <sz val="10"/>
        <rFont val="Arial"/>
        <family val="2"/>
      </rPr>
      <t>CSBBiologie zu</t>
    </r>
  </si>
  <si>
    <r>
      <t>EW</t>
    </r>
    <r>
      <rPr>
        <vertAlign val="subscript"/>
        <sz val="10"/>
        <rFont val="Arial"/>
        <family val="2"/>
      </rPr>
      <t>120</t>
    </r>
  </si>
  <si>
    <r>
      <t>EW</t>
    </r>
    <r>
      <rPr>
        <vertAlign val="subscript"/>
        <sz val="10"/>
        <rFont val="Arial"/>
        <family val="2"/>
      </rPr>
      <t>60</t>
    </r>
  </si>
  <si>
    <r>
      <t>EW</t>
    </r>
    <r>
      <rPr>
        <vertAlign val="subscript"/>
        <sz val="10"/>
        <rFont val="Arial"/>
        <family val="2"/>
      </rPr>
      <t>Pges1,7</t>
    </r>
  </si>
  <si>
    <r>
      <t>EW</t>
    </r>
    <r>
      <rPr>
        <vertAlign val="subscript"/>
        <sz val="10"/>
        <rFont val="Arial"/>
        <family val="2"/>
      </rPr>
      <t>Nges11</t>
    </r>
  </si>
  <si>
    <t>Normalbereich</t>
  </si>
  <si>
    <t>spez-TS-Fracht aerob stabil. Schlamm</t>
  </si>
  <si>
    <t>3.1 MÜSE und stat. Eindicker</t>
  </si>
  <si>
    <t>3.2 Faulung</t>
  </si>
  <si>
    <t>3.3 Schlammentwässerung</t>
  </si>
  <si>
    <r>
      <t>kWh/EW</t>
    </r>
    <r>
      <rPr>
        <b/>
        <vertAlign val="subscript"/>
        <sz val="10"/>
        <rFont val="Arial"/>
        <family val="2"/>
      </rPr>
      <t>120</t>
    </r>
    <r>
      <rPr>
        <b/>
        <sz val="10"/>
        <rFont val="Arial"/>
        <family val="2"/>
      </rPr>
      <t>/a</t>
    </r>
  </si>
  <si>
    <r>
      <t>EW</t>
    </r>
    <r>
      <rPr>
        <vertAlign val="subscript"/>
        <sz val="10"/>
        <rFont val="Arial"/>
        <family val="2"/>
      </rPr>
      <t>NH4N6,5</t>
    </r>
  </si>
  <si>
    <t>belastungsspez. Energieverbrauch 
von Belüften+Rühren</t>
  </si>
  <si>
    <t>el. Energie aus Faulgas erzeugt</t>
  </si>
  <si>
    <t>el. Energie zugekauft</t>
  </si>
  <si>
    <t>el. Energie ans EVU geliefert</t>
  </si>
  <si>
    <t>el. Energie bereitgestellt</t>
  </si>
  <si>
    <r>
      <t>g 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</si>
  <si>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r>
      <t>g oTS/EW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</si>
  <si>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t>spez. elektrische Energiebereitsstellung</t>
  </si>
  <si>
    <t>kg/kWh</t>
  </si>
  <si>
    <t>ok</t>
  </si>
  <si>
    <t>mg/L</t>
  </si>
  <si>
    <t>N-Gesamt Ablaufkonzentration</t>
  </si>
  <si>
    <t>CSB- Ablaufkonzentration</t>
  </si>
  <si>
    <t>BSB5-Ablaufkonzentration</t>
  </si>
  <si>
    <t>ÜS-Schlammanfall</t>
  </si>
  <si>
    <t>Nges. Schlammfracht</t>
  </si>
  <si>
    <t>kg/kg TS</t>
  </si>
  <si>
    <t>kg TS/d</t>
  </si>
  <si>
    <t>oTS-Gehalt ÜSS</t>
  </si>
  <si>
    <t>TS-Gehalt ÜSS</t>
  </si>
  <si>
    <t>CSB-Schlamm</t>
  </si>
  <si>
    <t>CSB-Zulaufkonzentration</t>
  </si>
  <si>
    <r>
      <t>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-Zulaufkonzentration</t>
    </r>
  </si>
  <si>
    <t>Nges.-Zulaufkonzentration (org.)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</si>
  <si>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-N-Zulaufkonzentration</t>
    </r>
  </si>
  <si>
    <t>Pges.-Zulaufkonzentration</t>
  </si>
  <si>
    <t>oTS-Anfall im Schlamm</t>
  </si>
  <si>
    <t>Op Max</t>
  </si>
  <si>
    <t>Op Min</t>
  </si>
  <si>
    <t>kg/[E*d]</t>
  </si>
  <si>
    <t>L/[E*d]</t>
  </si>
  <si>
    <t>Daten aus Leitfaden zur Erstellung von Energiekonzepten</t>
  </si>
  <si>
    <r>
      <t>CSB</t>
    </r>
    <r>
      <rPr>
        <vertAlign val="subscript"/>
        <sz val="10"/>
        <rFont val="Arial"/>
        <family val="2"/>
      </rPr>
      <t>120</t>
    </r>
  </si>
  <si>
    <r>
      <t>BSB</t>
    </r>
    <r>
      <rPr>
        <vertAlign val="subscript"/>
        <sz val="10"/>
        <rFont val="Arial"/>
        <family val="2"/>
      </rPr>
      <t>5</t>
    </r>
  </si>
  <si>
    <r>
      <t>N</t>
    </r>
    <r>
      <rPr>
        <vertAlign val="subscript"/>
        <sz val="10"/>
        <rFont val="Arial"/>
        <family val="2"/>
      </rPr>
      <t>ges11</t>
    </r>
  </si>
  <si>
    <r>
      <t>NH4N</t>
    </r>
    <r>
      <rPr>
        <vertAlign val="subscript"/>
        <sz val="10"/>
        <rFont val="Arial"/>
        <family val="2"/>
      </rPr>
      <t>6,5</t>
    </r>
  </si>
  <si>
    <r>
      <t>P</t>
    </r>
    <r>
      <rPr>
        <vertAlign val="subscript"/>
        <sz val="10"/>
        <rFont val="Arial"/>
        <family val="2"/>
      </rPr>
      <t>Pges1,7</t>
    </r>
  </si>
  <si>
    <t>ÜSB = ÜSBSB5 + USP [kg/kg]</t>
  </si>
  <si>
    <t>Schlammalter</t>
  </si>
  <si>
    <t>Tage</t>
  </si>
  <si>
    <t>mit Stabilisierung</t>
  </si>
  <si>
    <t>Tso/BSB5</t>
  </si>
  <si>
    <t>aus ATV A 131</t>
  </si>
  <si>
    <t>TSo</t>
  </si>
  <si>
    <t>ÜS-BSB5</t>
  </si>
  <si>
    <t>kgTS/ kg BSB5</t>
  </si>
  <si>
    <t>Grenzwerte ermitteln</t>
  </si>
  <si>
    <t>Grenzwert aus Wasserrecht 2010 2/8/1/1. 1.AEV kommunales A</t>
  </si>
  <si>
    <t>% BSBzu</t>
  </si>
  <si>
    <t>beta mol</t>
  </si>
  <si>
    <t>P Fäll.</t>
  </si>
  <si>
    <t>Schlammdaten ÜSS</t>
  </si>
  <si>
    <t>Schlammdaten Fällschlamm</t>
  </si>
  <si>
    <t>Dosiermenge Fe3Cl</t>
  </si>
  <si>
    <t>P im ÜSS</t>
  </si>
  <si>
    <t>P ink. ÜSS</t>
  </si>
  <si>
    <t>spez Fällschlammproduktion</t>
  </si>
  <si>
    <t>kg TS/kg Fe</t>
  </si>
  <si>
    <t>Gesamtschlammanfall</t>
  </si>
  <si>
    <t>TS-Gehalt Fällschlamm</t>
  </si>
  <si>
    <t>angenommener Wert</t>
  </si>
  <si>
    <t>Fällschlammanfall (Fe3Cl)</t>
  </si>
  <si>
    <t>Schlammdaten Gesamt</t>
  </si>
  <si>
    <t>kg TSo/kg BSB 5</t>
  </si>
  <si>
    <t>Belüftung und Rühren</t>
  </si>
  <si>
    <t>Schlammbehandlung</t>
  </si>
  <si>
    <t>Abwassertemperatur</t>
  </si>
  <si>
    <t>°C</t>
  </si>
  <si>
    <t>kg O2/kg BSB 5</t>
  </si>
  <si>
    <t>Basis File Ajä</t>
  </si>
  <si>
    <t>Laufzeit [a]</t>
  </si>
  <si>
    <t>Zinssatz [%]</t>
  </si>
  <si>
    <t>Förderung Land [%]</t>
  </si>
  <si>
    <t>Förderung Bund [%]</t>
  </si>
  <si>
    <t>q</t>
  </si>
  <si>
    <t>Investkosten [€]</t>
  </si>
  <si>
    <t>nach Abzug der Förderung</t>
  </si>
  <si>
    <t>laufende Kosten [€]</t>
  </si>
  <si>
    <t>Stromkosten</t>
  </si>
  <si>
    <t>Jahr</t>
  </si>
  <si>
    <t>DFAKR</t>
  </si>
  <si>
    <t>DFAKE</t>
  </si>
  <si>
    <t>DFAKE mittel</t>
  </si>
  <si>
    <t>Projektkostenbarwertberechnung</t>
  </si>
  <si>
    <t xml:space="preserve">spez. Kohlenstoffatmung 1 (OVC) </t>
  </si>
  <si>
    <t xml:space="preserve">TS Gehalt Gesamtschlamm </t>
  </si>
  <si>
    <t>spezifischer Faulgasertrag</t>
  </si>
  <si>
    <t>l/kg oTS</t>
  </si>
  <si>
    <t>Faulgasertrag</t>
  </si>
  <si>
    <t>Heizwert</t>
  </si>
  <si>
    <t>kWh/m³</t>
  </si>
  <si>
    <t>Bruttoenergieertrag Faulgas</t>
  </si>
  <si>
    <t>el. Energie aus Faulgas</t>
  </si>
  <si>
    <t>Wirkungsggrad ele.</t>
  </si>
  <si>
    <t>[%]</t>
  </si>
  <si>
    <t>Energiekennzahlen mobile Schlammentwässerung</t>
  </si>
  <si>
    <t>spezifischer Energieverbrauch</t>
  </si>
  <si>
    <t>Energieverbrauch</t>
  </si>
  <si>
    <t>ct/kWh</t>
  </si>
  <si>
    <t>Gesamt</t>
  </si>
  <si>
    <t>spez. Energieverbrauch</t>
  </si>
  <si>
    <t>kWh/a</t>
  </si>
  <si>
    <t>Kosten</t>
  </si>
  <si>
    <t>€/a</t>
  </si>
  <si>
    <t>Energieertrag Faulgasverwertung</t>
  </si>
  <si>
    <t>ele. Energieertrag [kWh/a]</t>
  </si>
  <si>
    <t>th. Energieertrag [kWh/a]</t>
  </si>
  <si>
    <t>spez. ele Kostenertrag [ct/kWh]</t>
  </si>
  <si>
    <t>spez. th. Kostenertrag [ct/kWh]</t>
  </si>
  <si>
    <t>ele. Kostenertrag [€/a]</t>
  </si>
  <si>
    <t>th. Kostenertrag [€/a]</t>
  </si>
  <si>
    <t>ele. &amp; thermische Ertrag [€/a]</t>
  </si>
  <si>
    <t>Variante 1: Vorortentwässerung</t>
  </si>
  <si>
    <t>Energiekennzahlen MÜSE</t>
  </si>
  <si>
    <t>Wirkungsgrad th.</t>
  </si>
  <si>
    <t>th. Energie aus Faulgas</t>
  </si>
  <si>
    <t>Schlammentsorgung</t>
  </si>
  <si>
    <t>Energieertrag</t>
  </si>
  <si>
    <t>variable Stromkosten</t>
  </si>
  <si>
    <t>lt. ATV Handbuch für Klärschlamm, 4.Auflage 1996</t>
  </si>
  <si>
    <t>Variante 3: Transport ohne Müse</t>
  </si>
  <si>
    <t>Variante 1 Vorortentwässerung (aerob stabilisiert)</t>
  </si>
  <si>
    <t>Variante 2 Transport (Nitri. /Deni.)</t>
  </si>
  <si>
    <t xml:space="preserve">Variante 3 Transport ohne MÜSE (Nitri. /Deni.) </t>
  </si>
  <si>
    <t>Variante 2: Transport mit Müse</t>
  </si>
  <si>
    <t>Distanz zwischen Kläranlagen</t>
  </si>
  <si>
    <t>km</t>
  </si>
  <si>
    <t>Distanz zwichen Kläranlagen</t>
  </si>
  <si>
    <t xml:space="preserve"> Auskunft laut Kanalräumung Rücklinger</t>
  </si>
  <si>
    <t>Kraftstoffverbrauch LKW [l/100 km]</t>
  </si>
  <si>
    <t>Umrechnugsfaktor Diesel [kg/ 10L]</t>
  </si>
  <si>
    <t>Strom [g CO2/kWh]</t>
  </si>
  <si>
    <t>durchschnittlicher Wert für Österreich lt. E-Control 2011</t>
  </si>
  <si>
    <t>Öl [g CO2/kWh]</t>
  </si>
  <si>
    <t>Stromverbrauch</t>
  </si>
  <si>
    <t>Allgmeine Daten LKW</t>
  </si>
  <si>
    <t>Allgemeine Daten CO2 Ausstoß</t>
  </si>
  <si>
    <t>CO2 Ausstoß [t/a]</t>
  </si>
  <si>
    <t>Strom</t>
  </si>
  <si>
    <t>LKW Entsorgung Klärschlamm</t>
  </si>
  <si>
    <t>Schlammmenge [t/a]</t>
  </si>
  <si>
    <t>Gesamtkilometer [km/a]</t>
  </si>
  <si>
    <t>Kilometer [km/a]</t>
  </si>
  <si>
    <t>LKW Gesamtkilometer</t>
  </si>
  <si>
    <t>spez. CO2 Ausstoß [g CO2/ km]</t>
  </si>
  <si>
    <t>Gesamtausstoß CO2</t>
  </si>
  <si>
    <t>CO2 [t/a]</t>
  </si>
  <si>
    <t>max. Beladung Pumpwagen [m³]</t>
  </si>
  <si>
    <t>CO2 Gewinn durch Faulgas</t>
  </si>
  <si>
    <t>ele. CO2 Ersparnis [t/a]</t>
  </si>
  <si>
    <t>ele. Energie [kWh/a]</t>
  </si>
  <si>
    <t>th. Energie [kWh/a]</t>
  </si>
  <si>
    <t>vgl. Öl</t>
  </si>
  <si>
    <t>CO2 Ersparnis [t/a]</t>
  </si>
  <si>
    <t>th. CO2 Erpsarnis [t/a]</t>
  </si>
  <si>
    <t>CO 2 Bilanz [t/a]</t>
  </si>
  <si>
    <t>Distanz Kläranalge zu Kläranlage [km]</t>
  </si>
  <si>
    <t>Distanz Kläranalge zuKläranlage [km]</t>
  </si>
  <si>
    <t>kg TS/h</t>
  </si>
  <si>
    <t>h/d</t>
  </si>
  <si>
    <t>kW</t>
  </si>
  <si>
    <t>kWh</t>
  </si>
  <si>
    <t>kWh/EW120/a</t>
  </si>
  <si>
    <t xml:space="preserve">Stundenleistung Müse </t>
  </si>
  <si>
    <t>Laufzeit</t>
  </si>
  <si>
    <t xml:space="preserve">Leistung </t>
  </si>
  <si>
    <t xml:space="preserve">Energieverbrauch </t>
  </si>
  <si>
    <t>Belüften + Rühren</t>
  </si>
  <si>
    <t>Distanz [km]</t>
  </si>
  <si>
    <t>Ausbaugröße [EGW]</t>
  </si>
  <si>
    <t>Nutzungsgrad th. Energie</t>
  </si>
  <si>
    <t>ATV -A 131</t>
  </si>
  <si>
    <t>spez. Kohlenstoffatmung</t>
  </si>
  <si>
    <t>Belüften + Rühren [kWh/a]</t>
  </si>
  <si>
    <t>Schlammbehandlung [kWh/a]</t>
  </si>
  <si>
    <t>LKW</t>
  </si>
  <si>
    <t>CO2 Ausstoß</t>
  </si>
  <si>
    <t>ele. CO2 Ersparnis</t>
  </si>
  <si>
    <t>th. CO2 Erpsarnis</t>
  </si>
  <si>
    <t>Gesamtergebnis</t>
  </si>
  <si>
    <t>CO2 Bilanz</t>
  </si>
  <si>
    <t>Berechung Daten  Kläranlage Variante 2 + 3</t>
  </si>
  <si>
    <t>Berechung Daten  Kläranlage Variante 1</t>
  </si>
  <si>
    <t>Volumen Belebungsbecken</t>
  </si>
  <si>
    <t>Volumen BB (VBB)</t>
  </si>
  <si>
    <t>Feststoffmasse BB (M TS,BB)</t>
  </si>
  <si>
    <t>kg</t>
  </si>
  <si>
    <t>TS-Gehalt Belebungsbecken (TSBB)</t>
  </si>
  <si>
    <t>g/L</t>
  </si>
  <si>
    <t>m³</t>
  </si>
  <si>
    <t>Verhältnis VD/VBB</t>
  </si>
  <si>
    <t>Volumen Deni - Becken</t>
  </si>
  <si>
    <t>Volumen Nitri - Becken</t>
  </si>
  <si>
    <t>Investkosten Becken</t>
  </si>
  <si>
    <t>€</t>
  </si>
  <si>
    <t>über 10.000</t>
  </si>
  <si>
    <t>€/m³</t>
  </si>
  <si>
    <t>vorhandenes Beckenvolumen Altbestand</t>
  </si>
  <si>
    <t>erforderliche Beckenvergrößerung</t>
  </si>
  <si>
    <t>BB Becken</t>
  </si>
  <si>
    <t>erforderliches Beckenvolumen</t>
  </si>
  <si>
    <t>spezifische Investkosten Schlammspeicher</t>
  </si>
  <si>
    <t>€/EGW</t>
  </si>
  <si>
    <t xml:space="preserve"> bis 1300</t>
  </si>
  <si>
    <t>1300 - 10000</t>
  </si>
  <si>
    <t>50-10/(10000-1300)*EGW</t>
  </si>
  <si>
    <t>Investitionskosten Schlammspeicher</t>
  </si>
  <si>
    <t>Schlammspeicher</t>
  </si>
  <si>
    <t>Baukostenansatz neu</t>
  </si>
  <si>
    <t>ERD/BAU fix</t>
  </si>
  <si>
    <t>ERD/BAU variabel</t>
  </si>
  <si>
    <t>MASCH/E variabel</t>
  </si>
  <si>
    <t>MASCH/E fix</t>
  </si>
  <si>
    <t>Beckengröße St. Valentin</t>
  </si>
  <si>
    <t>Bsp: St. Valentin</t>
  </si>
  <si>
    <t>ERD/BAU gesamt</t>
  </si>
  <si>
    <t>MASCH/ E gesamt</t>
  </si>
  <si>
    <t>Bsp: Ardagger</t>
  </si>
  <si>
    <t>Beckengröße Ardagger (3.000 EGW)</t>
  </si>
  <si>
    <t>spez. Baukosten</t>
  </si>
  <si>
    <t>Reinvest M. A. [a]</t>
  </si>
  <si>
    <t>Reinvest Bauw. [a]</t>
  </si>
  <si>
    <t>Reinvest RL [a]</t>
  </si>
  <si>
    <t>Maschinelle Ausrüstung (12,5 Jahre)</t>
  </si>
  <si>
    <t>Bauwerke (25 Jahre)</t>
  </si>
  <si>
    <t>Rohrleitungen (50 Jahre)</t>
  </si>
  <si>
    <t>MÜSE</t>
  </si>
  <si>
    <t>TS-Gehalt ÜSS Abzug</t>
  </si>
  <si>
    <t>Faulung</t>
  </si>
  <si>
    <t>Schlammentwässerung</t>
  </si>
  <si>
    <t>Variante 2: Transport mit MÜSE</t>
  </si>
  <si>
    <t>Variante 3: Transport ohne MÜSE</t>
  </si>
  <si>
    <t>spez. Baukosten BB</t>
  </si>
  <si>
    <t>Kosten Schlammspeicher</t>
  </si>
  <si>
    <t>Sonstige</t>
  </si>
  <si>
    <t>x</t>
  </si>
  <si>
    <t>Baukosten berechnet</t>
  </si>
  <si>
    <t>Baukosten BB berechnet</t>
  </si>
  <si>
    <t>l/(EGW/d)</t>
  </si>
  <si>
    <t>WOHER?? -&gt;Basis file Ajä</t>
  </si>
  <si>
    <t>file Ajä</t>
  </si>
  <si>
    <t>nach ATV -A 131</t>
  </si>
  <si>
    <t>Variante A:</t>
  </si>
  <si>
    <t>D A T E N E I N G A B E B E R E I C H   I</t>
  </si>
  <si>
    <r>
      <t>EW</t>
    </r>
    <r>
      <rPr>
        <vertAlign val="subscript"/>
        <sz val="14"/>
        <color indexed="8"/>
        <rFont val="Times New Roman"/>
        <family val="2"/>
      </rPr>
      <t>CSB120</t>
    </r>
  </si>
  <si>
    <t xml:space="preserve">CSB-Bemessungsbelastung Belebung </t>
  </si>
  <si>
    <t>–</t>
  </si>
  <si>
    <t>NEIN</t>
  </si>
  <si>
    <t>Schlammalter Belebung</t>
  </si>
  <si>
    <t>d</t>
  </si>
  <si>
    <t>25 - 35</t>
  </si>
  <si>
    <t>Strompreis</t>
  </si>
  <si>
    <t>D A T E N E I N G A B E B E R E I C H   II</t>
  </si>
  <si>
    <t>Kalkulatorischer Zinssatz (Realverzinsung)</t>
  </si>
  <si>
    <t>0,0 - 5,0</t>
  </si>
  <si>
    <t>JA</t>
  </si>
  <si>
    <t>1.000 - 15.000</t>
  </si>
  <si>
    <t>Distanz zwischen den Kläranlagen</t>
  </si>
  <si>
    <t>0 - 100</t>
  </si>
  <si>
    <r>
      <t>Volumen Belebungsbecken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>IST</t>
    </r>
  </si>
  <si>
    <r>
      <t>Volumen Schlammspeicher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 xml:space="preserve">IST </t>
    </r>
  </si>
  <si>
    <r>
      <t>V</t>
    </r>
    <r>
      <rPr>
        <vertAlign val="subscript"/>
        <sz val="14"/>
        <rFont val="Times New Roman"/>
        <family val="2"/>
      </rPr>
      <t>BB–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</si>
  <si>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BB</t>
    </r>
    <r>
      <rPr>
        <sz val="14"/>
        <rFont val="Times New Roman"/>
        <family val="2"/>
      </rPr>
      <t xml:space="preserve"> </t>
    </r>
  </si>
  <si>
    <t>Investkosten MÜSE</t>
  </si>
  <si>
    <t>Variante F 1:</t>
  </si>
  <si>
    <t>Variante F 2:</t>
  </si>
  <si>
    <t>spezifische Investkosten Belebungsbecken (Vorschlag)</t>
  </si>
  <si>
    <r>
      <t>V</t>
    </r>
    <r>
      <rPr>
        <vertAlign val="subscript"/>
        <sz val="14"/>
        <rFont val="Times New Roman"/>
        <family val="2"/>
      </rPr>
      <t>Schlammspeicher–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</si>
  <si>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Schlammspeicher</t>
    </r>
    <r>
      <rPr>
        <sz val="14"/>
        <rFont val="Times New Roman"/>
        <family val="2"/>
      </rPr>
      <t xml:space="preserve"> </t>
    </r>
  </si>
  <si>
    <t>Investkosten Schlammspeicher (Vorschlag)</t>
  </si>
  <si>
    <t>Auswertung CO2 Vergleich</t>
  </si>
  <si>
    <t>Belüften und Rühren</t>
  </si>
  <si>
    <t>LKW Transport</t>
  </si>
  <si>
    <t>th. CO2 Ersparnis</t>
  </si>
  <si>
    <t>t/a</t>
  </si>
  <si>
    <t>GESAMT</t>
  </si>
  <si>
    <t>Variante A</t>
  </si>
  <si>
    <t>Variante F1</t>
  </si>
  <si>
    <t>Variante F2</t>
  </si>
  <si>
    <r>
      <t xml:space="preserve">TS </t>
    </r>
    <r>
      <rPr>
        <vertAlign val="subscript"/>
        <sz val="14"/>
        <color indexed="8"/>
        <rFont val="Times New Roman"/>
        <family val="1"/>
      </rPr>
      <t>BB</t>
    </r>
  </si>
  <si>
    <t>g / L</t>
  </si>
  <si>
    <t>3,0 - 6,0</t>
  </si>
  <si>
    <t>Vorhaltezeit Schlammspeicher</t>
  </si>
  <si>
    <t>Schlammanfall</t>
  </si>
  <si>
    <t>6,0 - 10,0</t>
  </si>
  <si>
    <t>Wirkungsgrad elektrisch</t>
  </si>
  <si>
    <t>Wirkungsgrad thermisch</t>
  </si>
  <si>
    <t>Nutzunsgrad thermische Energie</t>
  </si>
  <si>
    <t>5,0 - 7,0</t>
  </si>
  <si>
    <t>40 - 60</t>
  </si>
  <si>
    <t>25 - 40</t>
  </si>
  <si>
    <t>D A T E N E I N G A B E B E R E I C H   III</t>
  </si>
  <si>
    <t>m³/a</t>
  </si>
  <si>
    <t>10,0 - 25,0</t>
  </si>
  <si>
    <t>20,0 - 35,0</t>
  </si>
  <si>
    <t>10,0 - 30,0</t>
  </si>
  <si>
    <t>Belüften</t>
  </si>
  <si>
    <t>Rühren</t>
  </si>
  <si>
    <t>Belüften (Vorschlag)</t>
  </si>
  <si>
    <t>MÜSE (Vorschlag)</t>
  </si>
  <si>
    <t>1,5 - 4,5</t>
  </si>
  <si>
    <t>1,0 - 2,5</t>
  </si>
  <si>
    <t>0,5 - 3,5</t>
  </si>
  <si>
    <t>0,5  - 1,0</t>
  </si>
  <si>
    <t>Nr.</t>
  </si>
  <si>
    <t>1A</t>
  </si>
  <si>
    <t>2A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</si>
  <si>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</si>
  <si>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</si>
  <si>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</si>
  <si>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</si>
  <si>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</si>
  <si>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</si>
  <si>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</si>
  <si>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</si>
  <si>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</si>
  <si>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</si>
  <si>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</si>
  <si>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</si>
  <si>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</si>
  <si>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17F1</t>
  </si>
  <si>
    <t>17F2</t>
  </si>
  <si>
    <t>18F1</t>
  </si>
  <si>
    <t>19F1</t>
  </si>
  <si>
    <t>20F1</t>
  </si>
  <si>
    <t>21F1</t>
  </si>
  <si>
    <t>22F2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</si>
  <si>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</si>
  <si>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</si>
  <si>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</si>
  <si>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</si>
  <si>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</si>
  <si>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</si>
  <si>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</si>
  <si>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</si>
  <si>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</si>
  <si>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</si>
  <si>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</si>
  <si>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</si>
  <si>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</si>
  <si>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37F1</t>
  </si>
  <si>
    <t>38F1</t>
  </si>
  <si>
    <t>39F1</t>
  </si>
  <si>
    <t>40F1</t>
  </si>
  <si>
    <t>28A</t>
  </si>
  <si>
    <t>34A</t>
  </si>
  <si>
    <t>35A</t>
  </si>
  <si>
    <t>37A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</si>
  <si>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</si>
  <si>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</si>
  <si>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</si>
  <si>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</si>
  <si>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</si>
  <si>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</si>
  <si>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</si>
  <si>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</si>
  <si>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</si>
  <si>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10F1</t>
  </si>
  <si>
    <t>11F1</t>
  </si>
  <si>
    <t>12F1</t>
  </si>
  <si>
    <t>13F1</t>
  </si>
  <si>
    <t>14F1</t>
  </si>
  <si>
    <t>15F1</t>
  </si>
  <si>
    <t>16F1</t>
  </si>
  <si>
    <t>1F2</t>
  </si>
  <si>
    <t>3F2</t>
  </si>
  <si>
    <t>4F2</t>
  </si>
  <si>
    <t>5F2</t>
  </si>
  <si>
    <t>6F2</t>
  </si>
  <si>
    <t>7F2</t>
  </si>
  <si>
    <t>8F2</t>
  </si>
  <si>
    <t>9F2</t>
  </si>
  <si>
    <t>10F2</t>
  </si>
  <si>
    <t>11F2</t>
  </si>
  <si>
    <t>12F2</t>
  </si>
  <si>
    <t>13F2</t>
  </si>
  <si>
    <t>14F2</t>
  </si>
  <si>
    <t>15F2</t>
  </si>
  <si>
    <t>18F2</t>
  </si>
  <si>
    <t>19F2</t>
  </si>
  <si>
    <t>20F2</t>
  </si>
  <si>
    <t>21F2</t>
  </si>
  <si>
    <t>23F2</t>
  </si>
  <si>
    <t>24F2</t>
  </si>
  <si>
    <t>25F2</t>
  </si>
  <si>
    <t>26F2</t>
  </si>
  <si>
    <t>27F2</t>
  </si>
  <si>
    <t>28F2</t>
  </si>
  <si>
    <t>31F2</t>
  </si>
  <si>
    <t>32F2</t>
  </si>
  <si>
    <t>33F2</t>
  </si>
  <si>
    <t>34F2</t>
  </si>
  <si>
    <t>35F2</t>
  </si>
  <si>
    <t>65.000 - 100.000</t>
  </si>
  <si>
    <t>42A</t>
  </si>
  <si>
    <t>43A</t>
  </si>
  <si>
    <t>44A</t>
  </si>
  <si>
    <t>44F2</t>
  </si>
  <si>
    <t>45A</t>
  </si>
  <si>
    <t>46A</t>
  </si>
  <si>
    <t>49A</t>
  </si>
  <si>
    <t>45F1</t>
  </si>
  <si>
    <t>46F1</t>
  </si>
  <si>
    <t>49F1</t>
  </si>
  <si>
    <t>45F2</t>
  </si>
  <si>
    <t>46F2</t>
  </si>
  <si>
    <t>49F2</t>
  </si>
  <si>
    <t>Belebungsbecken</t>
  </si>
  <si>
    <t>Belebung</t>
  </si>
  <si>
    <t>Laufende Kosten</t>
  </si>
  <si>
    <t>CO2 Vergleich</t>
  </si>
  <si>
    <t>Variante "A"</t>
  </si>
  <si>
    <t>Variante "F1"</t>
  </si>
  <si>
    <t>Variante "F2"</t>
  </si>
  <si>
    <r>
      <t>l/(EW</t>
    </r>
    <r>
      <rPr>
        <vertAlign val="subscript"/>
        <sz val="14"/>
        <rFont val="Times New Roman"/>
        <family val="1"/>
      </rPr>
      <t>120*d</t>
    </r>
    <r>
      <rPr>
        <sz val="14"/>
        <rFont val="Times New Roman"/>
        <family val="1"/>
      </rPr>
      <t>)</t>
    </r>
  </si>
  <si>
    <t>14 - 22,0</t>
  </si>
  <si>
    <t>11,5 - 20</t>
  </si>
  <si>
    <t>41F1</t>
  </si>
  <si>
    <t>51F1</t>
  </si>
  <si>
    <t>51A</t>
  </si>
  <si>
    <t>29A</t>
  </si>
  <si>
    <t>38A</t>
  </si>
  <si>
    <t>51F2</t>
  </si>
  <si>
    <t>29F2</t>
  </si>
  <si>
    <t>30F2</t>
  </si>
  <si>
    <t>,</t>
  </si>
  <si>
    <t>2,0 - 5,0</t>
  </si>
  <si>
    <t>17A</t>
  </si>
  <si>
    <t>18A</t>
  </si>
  <si>
    <t>19A</t>
  </si>
  <si>
    <t>Eingabe /
Zwischen
-ergebnis / Kontroll
-wert</t>
  </si>
  <si>
    <r>
      <t>A</t>
    </r>
    <r>
      <rPr>
        <b/>
        <sz val="22"/>
        <color indexed="8"/>
        <rFont val="Times New Roman"/>
        <family val="2"/>
      </rPr>
      <t>EROBE  
STABILISIERUNG</t>
    </r>
  </si>
  <si>
    <r>
      <t>F</t>
    </r>
    <r>
      <rPr>
        <b/>
        <sz val="22"/>
        <color indexed="8"/>
        <rFont val="Times New Roman"/>
        <family val="2"/>
      </rPr>
      <t>AULUNG 
MIT MÜSE</t>
    </r>
  </si>
  <si>
    <r>
      <t>F</t>
    </r>
    <r>
      <rPr>
        <b/>
        <sz val="22"/>
        <color indexed="8"/>
        <rFont val="Times New Roman"/>
        <family val="2"/>
      </rPr>
      <t>AULUNG 
OHNE MÜSE</t>
    </r>
  </si>
  <si>
    <t>Plausibilitäts
-bereich</t>
  </si>
  <si>
    <t>VORSCHLAGSWERTE IM BEZUG AUF DIE INVESTITIONSKOSTEN DIENEN NUR ALS GROBES WERKZEUG ZUR VORSELEKTION
 UND SIND VOR EINER WEITERGEHNDEN BETRACHTUNG UNBEDINGT SELBST ZU ERMITTELN</t>
  </si>
  <si>
    <t>elektrischer 
Energiebedarf</t>
  </si>
  <si>
    <t>Schlamm
-entsorgung</t>
  </si>
  <si>
    <t>Faulgas
-verwertung</t>
  </si>
  <si>
    <t>Investitions
-kosten</t>
  </si>
  <si>
    <t>Kostenauswertung</t>
  </si>
  <si>
    <t>Investkosten</t>
  </si>
  <si>
    <t>Gesamtkosten</t>
  </si>
  <si>
    <t>Projektkostenbarwert nach 25 Jahren</t>
  </si>
  <si>
    <t>zus. Investkosten maschinelle Ausr. (12,5 Jahre Reinvest)</t>
  </si>
  <si>
    <t>zus. Investitionskosten baulich (25 Jahre Reinvest)</t>
  </si>
  <si>
    <t>52F2</t>
  </si>
  <si>
    <t>53F2</t>
  </si>
  <si>
    <t>54F2</t>
  </si>
  <si>
    <t>54F1</t>
  </si>
  <si>
    <t>53F1</t>
  </si>
  <si>
    <t>52F1</t>
  </si>
  <si>
    <t>52A</t>
  </si>
  <si>
    <t>53A</t>
  </si>
  <si>
    <t>54A</t>
  </si>
  <si>
    <t>0 - 14</t>
  </si>
  <si>
    <t>spezifische Entsorgungskosten  für Nassschlamm</t>
  </si>
  <si>
    <t>Reinvest nach 12,5 Jahre</t>
  </si>
  <si>
    <t>47A</t>
  </si>
  <si>
    <t>48A</t>
  </si>
  <si>
    <t>50A</t>
  </si>
  <si>
    <t>47F1</t>
  </si>
  <si>
    <t>48F1</t>
  </si>
  <si>
    <t>50F1</t>
  </si>
  <si>
    <t>47F2</t>
  </si>
  <si>
    <t>48F2</t>
  </si>
  <si>
    <t>50F2</t>
  </si>
  <si>
    <t>Erlös elektrische Energie</t>
  </si>
  <si>
    <t>Erlös thermische Energie</t>
  </si>
  <si>
    <t>€/kWh</t>
  </si>
  <si>
    <t>Belastungen</t>
  </si>
  <si>
    <t>1000 - 15.000</t>
  </si>
  <si>
    <t>30A</t>
  </si>
  <si>
    <t>39A</t>
  </si>
  <si>
    <t>42F1</t>
  </si>
  <si>
    <t>55A</t>
  </si>
  <si>
    <t>55F1</t>
  </si>
  <si>
    <t>55F2</t>
  </si>
  <si>
    <t>durchschnittliche CSB-Belastung Belebung</t>
  </si>
  <si>
    <t>20A</t>
  </si>
  <si>
    <t>Investkosten Belebungsbecken (Vorschlag)</t>
  </si>
  <si>
    <t>tatsächliche Investkosten Schlammspeicher</t>
  </si>
  <si>
    <t>Überschussschlammanfall Belebung(Vorschlag)</t>
  </si>
  <si>
    <t>Überschussschlammanfall Belebung</t>
  </si>
  <si>
    <t>TS - Gehalt Überschussschlamm Belebung (Vorschlag)</t>
  </si>
  <si>
    <t xml:space="preserve">TS - Gehalt Überschussschlamm Belebung </t>
  </si>
  <si>
    <t>jährliche Schlammmenge nach Schlammspeicher</t>
  </si>
  <si>
    <t>Investkosten Gesamt</t>
  </si>
  <si>
    <t>300 - 1200</t>
  </si>
  <si>
    <t>Schlammdaten ÜSS CSB Bemessung</t>
  </si>
  <si>
    <t>Schlammdaten ÜSS CSB Durchschnitt</t>
  </si>
  <si>
    <t>36A</t>
  </si>
  <si>
    <t>40A</t>
  </si>
  <si>
    <t>36F1</t>
  </si>
  <si>
    <t>43F1</t>
  </si>
  <si>
    <t>36F2</t>
  </si>
  <si>
    <t>56A</t>
  </si>
  <si>
    <t>56F1</t>
  </si>
  <si>
    <t>56F2</t>
  </si>
  <si>
    <t>TS - Gehalt nach Schlammspeicher</t>
  </si>
  <si>
    <t>elektrische CO2 Ersparnis</t>
  </si>
  <si>
    <t>thermische CO2 Ersparnis</t>
  </si>
  <si>
    <t>16F2</t>
  </si>
  <si>
    <t>erf. Schlammspeichervolumen F1</t>
  </si>
  <si>
    <t>erf. Schlammspeichervolumen F2</t>
  </si>
  <si>
    <t>Elektrischer und Thermischer Erlös</t>
  </si>
  <si>
    <t>0,00 - 0,20</t>
  </si>
  <si>
    <t>0,000 - 0,100</t>
  </si>
  <si>
    <t>tatsächliche Investkosten Belebungsbecken gesamt</t>
  </si>
  <si>
    <t>Reinvest BB nach 12,5 Jahren (EMSR, maschinell)</t>
  </si>
  <si>
    <t>Bsp: Y</t>
  </si>
  <si>
    <t>Beckengröße X</t>
  </si>
  <si>
    <t>Beckengröße Y</t>
  </si>
  <si>
    <t>Bsp: X</t>
  </si>
  <si>
    <t>2F2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</si>
</sst>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Calibri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0"/>
      <color indexed="19"/>
      <name val="Arial"/>
      <family val="0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2"/>
    </font>
    <font>
      <b/>
      <sz val="26"/>
      <color indexed="8"/>
      <name val="Times New Roman"/>
      <family val="2"/>
    </font>
    <font>
      <b/>
      <sz val="2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2"/>
    </font>
    <font>
      <sz val="14"/>
      <name val="Times New Roman"/>
      <family val="2"/>
    </font>
    <font>
      <b/>
      <sz val="22"/>
      <name val="Times New Roman"/>
      <family val="2"/>
    </font>
    <font>
      <b/>
      <sz val="14"/>
      <name val="Times New Roman"/>
      <family val="2"/>
    </font>
    <font>
      <vertAlign val="subscript"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b/>
      <sz val="24"/>
      <color indexed="8"/>
      <name val="Times New Roman"/>
      <family val="2"/>
    </font>
    <font>
      <sz val="22"/>
      <name val="Arial"/>
      <family val="0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23" borderId="9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4" borderId="10" xfId="0" applyFont="1" applyFill="1" applyBorder="1" applyAlignment="1">
      <alignment horizontal="left" indent="3"/>
    </xf>
    <xf numFmtId="1" fontId="0" fillId="0" borderId="0" xfId="0" applyNumberFormat="1" applyAlignment="1">
      <alignment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/>
    </xf>
    <xf numFmtId="165" fontId="4" fillId="24" borderId="14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165" fontId="0" fillId="25" borderId="14" xfId="0" applyNumberFormat="1" applyFont="1" applyFill="1" applyBorder="1" applyAlignment="1">
      <alignment horizontal="right" vertical="center"/>
    </xf>
    <xf numFmtId="165" fontId="3" fillId="2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24" borderId="0" xfId="0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49" fontId="0" fillId="24" borderId="0" xfId="0" applyNumberFormat="1" applyFill="1" applyBorder="1" applyAlignment="1">
      <alignment horizontal="left" indent="2"/>
    </xf>
    <xf numFmtId="0" fontId="0" fillId="24" borderId="11" xfId="0" applyFill="1" applyBorder="1" applyAlignment="1">
      <alignment horizontal="left"/>
    </xf>
    <xf numFmtId="4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right"/>
    </xf>
    <xf numFmtId="165" fontId="0" fillId="24" borderId="14" xfId="0" applyNumberFormat="1" applyFont="1" applyFill="1" applyBorder="1" applyAlignment="1">
      <alignment horizontal="right"/>
    </xf>
    <xf numFmtId="165" fontId="8" fillId="24" borderId="0" xfId="0" applyNumberFormat="1" applyFont="1" applyFill="1" applyAlignment="1">
      <alignment/>
    </xf>
    <xf numFmtId="165" fontId="4" fillId="24" borderId="14" xfId="0" applyNumberFormat="1" applyFont="1" applyFill="1" applyBorder="1" applyAlignment="1">
      <alignment horizontal="right" vertical="center"/>
    </xf>
    <xf numFmtId="165" fontId="3" fillId="24" borderId="14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/>
    </xf>
    <xf numFmtId="2" fontId="0" fillId="24" borderId="14" xfId="0" applyNumberFormat="1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3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24" borderId="0" xfId="0" applyFont="1" applyFill="1" applyBorder="1" applyAlignment="1">
      <alignment horizontal="right" vertical="center"/>
    </xf>
    <xf numFmtId="0" fontId="0" fillId="2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0" fillId="24" borderId="26" xfId="0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168" fontId="0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6" fillId="21" borderId="27" xfId="0" applyFont="1" applyFill="1" applyBorder="1" applyAlignment="1">
      <alignment horizontal="right"/>
    </xf>
    <xf numFmtId="0" fontId="6" fillId="21" borderId="28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indent="3"/>
    </xf>
    <xf numFmtId="0" fontId="0" fillId="24" borderId="0" xfId="0" applyFill="1" applyBorder="1" applyAlignment="1">
      <alignment vertical="center"/>
    </xf>
    <xf numFmtId="0" fontId="12" fillId="24" borderId="0" xfId="0" applyFont="1" applyFill="1" applyBorder="1" applyAlignment="1">
      <alignment horizontal="left" indent="3"/>
    </xf>
    <xf numFmtId="0" fontId="4" fillId="24" borderId="0" xfId="0" applyFont="1" applyFill="1" applyBorder="1" applyAlignment="1">
      <alignment horizontal="left" vertical="center"/>
    </xf>
    <xf numFmtId="0" fontId="6" fillId="21" borderId="20" xfId="0" applyFont="1" applyFill="1" applyBorder="1" applyAlignment="1">
      <alignment horizontal="right" vertical="center"/>
    </xf>
    <xf numFmtId="165" fontId="3" fillId="24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165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65" fontId="0" fillId="0" borderId="0" xfId="0" applyNumberFormat="1" applyAlignment="1">
      <alignment/>
    </xf>
    <xf numFmtId="4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3" fillId="25" borderId="14" xfId="0" applyNumberFormat="1" applyFon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21" borderId="11" xfId="0" applyFill="1" applyBorder="1" applyAlignment="1">
      <alignment/>
    </xf>
    <xf numFmtId="166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0" fontId="6" fillId="21" borderId="14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25" borderId="14" xfId="0" applyFill="1" applyBorder="1" applyAlignment="1">
      <alignment/>
    </xf>
    <xf numFmtId="2" fontId="0" fillId="0" borderId="14" xfId="0" applyNumberFormat="1" applyBorder="1" applyAlignment="1">
      <alignment/>
    </xf>
    <xf numFmtId="4" fontId="4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65" fontId="0" fillId="24" borderId="14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10" borderId="14" xfId="0" applyNumberFormat="1" applyFont="1" applyFill="1" applyBorder="1" applyAlignment="1">
      <alignment/>
    </xf>
    <xf numFmtId="3" fontId="4" fillId="10" borderId="2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5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10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3" fillId="24" borderId="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25" fillId="24" borderId="0" xfId="0" applyFont="1" applyFill="1" applyAlignment="1" applyProtection="1">
      <alignment/>
      <protection/>
    </xf>
    <xf numFmtId="3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7" fillId="24" borderId="31" xfId="0" applyFont="1" applyFill="1" applyBorder="1" applyAlignment="1" applyProtection="1">
      <alignment vertical="center"/>
      <protection/>
    </xf>
    <xf numFmtId="3" fontId="29" fillId="20" borderId="32" xfId="0" applyNumberFormat="1" applyFont="1" applyFill="1" applyBorder="1" applyAlignment="1" applyProtection="1">
      <alignment horizontal="right" vertical="center"/>
      <protection locked="0"/>
    </xf>
    <xf numFmtId="3" fontId="27" fillId="24" borderId="32" xfId="0" applyNumberFormat="1" applyFont="1" applyFill="1" applyBorder="1" applyAlignment="1" applyProtection="1">
      <alignment horizontal="right" vertical="center"/>
      <protection/>
    </xf>
    <xf numFmtId="0" fontId="27" fillId="24" borderId="32" xfId="0" applyFont="1" applyFill="1" applyBorder="1" applyAlignment="1" applyProtection="1">
      <alignment horizontal="left" vertical="center"/>
      <protection/>
    </xf>
    <xf numFmtId="17" fontId="27" fillId="24" borderId="0" xfId="0" applyNumberFormat="1" applyFont="1" applyFill="1" applyBorder="1" applyAlignment="1" applyProtection="1">
      <alignment horizontal="right" vertical="center"/>
      <protection/>
    </xf>
    <xf numFmtId="4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3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1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24" borderId="21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3" fontId="0" fillId="25" borderId="0" xfId="0" applyNumberFormat="1" applyFill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4" fontId="29" fillId="24" borderId="32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3" fontId="29" fillId="24" borderId="16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right"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16" fontId="27" fillId="24" borderId="21" xfId="0" applyNumberFormat="1" applyFont="1" applyFill="1" applyBorder="1" applyAlignment="1" applyProtection="1" quotePrefix="1">
      <alignment horizontal="right"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9" fillId="24" borderId="32" xfId="0" applyFont="1" applyFill="1" applyBorder="1" applyAlignment="1" applyProtection="1">
      <alignment horizontal="left" vertical="center"/>
      <protection/>
    </xf>
    <xf numFmtId="0" fontId="29" fillId="24" borderId="27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3" fontId="29" fillId="24" borderId="28" xfId="0" applyNumberFormat="1" applyFont="1" applyFill="1" applyBorder="1" applyAlignment="1" applyProtection="1">
      <alignment horizontal="right" vertical="center"/>
      <protection/>
    </xf>
    <xf numFmtId="0" fontId="29" fillId="24" borderId="31" xfId="0" applyFont="1" applyFill="1" applyBorder="1" applyAlignment="1" applyProtection="1">
      <alignment vertical="center"/>
      <protection/>
    </xf>
    <xf numFmtId="3" fontId="29" fillId="24" borderId="32" xfId="0" applyNumberFormat="1" applyFont="1" applyFill="1" applyBorder="1" applyAlignment="1" applyProtection="1">
      <alignment horizontal="right"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right" vertical="center"/>
      <protection/>
    </xf>
    <xf numFmtId="1" fontId="29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29" fillId="24" borderId="1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31" fillId="24" borderId="10" xfId="0" applyFont="1" applyFill="1" applyBorder="1" applyAlignment="1" applyProtection="1">
      <alignment vertical="center"/>
      <protection/>
    </xf>
    <xf numFmtId="4" fontId="29" fillId="24" borderId="11" xfId="0" applyNumberFormat="1" applyFont="1" applyFill="1" applyBorder="1" applyAlignment="1" applyProtection="1">
      <alignment horizontal="right" vertical="center"/>
      <protection/>
    </xf>
    <xf numFmtId="4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4" borderId="1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3" fontId="29" fillId="25" borderId="32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29" fillId="24" borderId="21" xfId="0" applyFont="1" applyFill="1" applyBorder="1" applyAlignment="1" applyProtection="1">
      <alignment horizontal="left" vertical="center"/>
      <protection/>
    </xf>
    <xf numFmtId="4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0" xfId="0" applyNumberFormat="1" applyFont="1" applyFill="1" applyBorder="1" applyAlignment="1" applyProtection="1">
      <alignment horizontal="right" vertical="center"/>
      <protection/>
    </xf>
    <xf numFmtId="17" fontId="29" fillId="24" borderId="21" xfId="0" applyNumberFormat="1" applyFont="1" applyFill="1" applyBorder="1" applyAlignment="1" applyProtection="1">
      <alignment horizontal="right" vertical="center"/>
      <protection/>
    </xf>
    <xf numFmtId="16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9" fillId="24" borderId="31" xfId="0" applyFont="1" applyFill="1" applyBorder="1" applyAlignment="1" applyProtection="1">
      <alignment horizontal="left" vertical="center"/>
      <protection/>
    </xf>
    <xf numFmtId="166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4" borderId="2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6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66" fontId="27" fillId="24" borderId="29" xfId="0" applyNumberFormat="1" applyFont="1" applyFill="1" applyBorder="1" applyAlignment="1" applyProtection="1">
      <alignment horizontal="right" vertical="center"/>
      <protection/>
    </xf>
    <xf numFmtId="0" fontId="26" fillId="24" borderId="33" xfId="0" applyFont="1" applyFill="1" applyBorder="1" applyAlignment="1" applyProtection="1">
      <alignment horizontal="left" vertical="center"/>
      <protection/>
    </xf>
    <xf numFmtId="3" fontId="27" fillId="24" borderId="29" xfId="0" applyNumberFormat="1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29" xfId="0" applyFont="1" applyFill="1" applyBorder="1" applyAlignment="1" applyProtection="1">
      <alignment/>
      <protection/>
    </xf>
    <xf numFmtId="3" fontId="29" fillId="24" borderId="34" xfId="0" applyNumberFormat="1" applyFont="1" applyFill="1" applyBorder="1" applyAlignment="1" applyProtection="1">
      <alignment horizontal="right" vertical="center"/>
      <protection/>
    </xf>
    <xf numFmtId="3" fontId="29" fillId="24" borderId="29" xfId="0" applyNumberFormat="1" applyFont="1" applyFill="1" applyBorder="1" applyAlignment="1" applyProtection="1">
      <alignment horizontal="right" vertical="center"/>
      <protection/>
    </xf>
    <xf numFmtId="4" fontId="29" fillId="24" borderId="29" xfId="0" applyNumberFormat="1" applyFont="1" applyFill="1" applyBorder="1" applyAlignment="1" applyProtection="1">
      <alignment horizontal="right" vertical="center"/>
      <protection/>
    </xf>
    <xf numFmtId="3" fontId="29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4" borderId="29" xfId="0" applyFont="1" applyFill="1" applyBorder="1" applyAlignment="1" applyProtection="1">
      <alignment/>
      <protection/>
    </xf>
    <xf numFmtId="3" fontId="29" fillId="25" borderId="29" xfId="0" applyNumberFormat="1" applyFont="1" applyFill="1" applyBorder="1" applyAlignment="1" applyProtection="1">
      <alignment horizontal="right" vertical="center"/>
      <protection/>
    </xf>
    <xf numFmtId="166" fontId="27" fillId="24" borderId="35" xfId="0" applyNumberFormat="1" applyFont="1" applyFill="1" applyBorder="1" applyAlignment="1" applyProtection="1">
      <alignment horizontal="right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29" xfId="0" applyFont="1" applyFill="1" applyBorder="1" applyAlignment="1" applyProtection="1">
      <alignment horizontal="right"/>
      <protection/>
    </xf>
    <xf numFmtId="3" fontId="29" fillId="24" borderId="35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/>
      <protection/>
    </xf>
    <xf numFmtId="4" fontId="29" fillId="24" borderId="36" xfId="0" applyNumberFormat="1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9" fillId="24" borderId="21" xfId="0" applyFont="1" applyFill="1" applyBorder="1" applyAlignment="1" applyProtection="1">
      <alignment horizontal="right" vertical="center"/>
      <protection/>
    </xf>
    <xf numFmtId="3" fontId="29" fillId="24" borderId="16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3" fontId="31" fillId="24" borderId="31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3" fontId="31" fillId="24" borderId="0" xfId="0" applyNumberFormat="1" applyFont="1" applyFill="1" applyBorder="1" applyAlignment="1" applyProtection="1">
      <alignment horizontal="left" vertical="center"/>
      <protection/>
    </xf>
    <xf numFmtId="4" fontId="31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4" fontId="31" fillId="24" borderId="17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4" fontId="31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0" xfId="0" applyNumberFormat="1" applyFont="1" applyFill="1" applyBorder="1" applyAlignment="1" applyProtection="1">
      <alignment horizontal="left" vertical="center"/>
      <protection/>
    </xf>
    <xf numFmtId="3" fontId="26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37" xfId="0" applyFont="1" applyFill="1" applyBorder="1" applyAlignment="1" applyProtection="1">
      <alignment vertical="center"/>
      <protection/>
    </xf>
    <xf numFmtId="0" fontId="29" fillId="24" borderId="38" xfId="0" applyFont="1" applyFill="1" applyBorder="1" applyAlignment="1" applyProtection="1">
      <alignment horizontal="left" vertical="center"/>
      <protection/>
    </xf>
    <xf numFmtId="0" fontId="27" fillId="24" borderId="37" xfId="0" applyFont="1" applyFill="1" applyBorder="1" applyAlignment="1" applyProtection="1">
      <alignment vertical="center"/>
      <protection/>
    </xf>
    <xf numFmtId="0" fontId="27" fillId="24" borderId="38" xfId="0" applyFont="1" applyFill="1" applyBorder="1" applyAlignment="1" applyProtection="1">
      <alignment horizontal="left" vertical="center"/>
      <protection/>
    </xf>
    <xf numFmtId="4" fontId="29" fillId="20" borderId="38" xfId="0" applyNumberFormat="1" applyFont="1" applyFill="1" applyBorder="1" applyAlignment="1" applyProtection="1">
      <alignment horizontal="right" vertical="center"/>
      <protection locked="0"/>
    </xf>
    <xf numFmtId="4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0" borderId="38" xfId="0" applyNumberFormat="1" applyFont="1" applyFill="1" applyBorder="1" applyAlignment="1" applyProtection="1">
      <alignment horizontal="right" vertical="center"/>
      <protection locked="0"/>
    </xf>
    <xf numFmtId="0" fontId="27" fillId="24" borderId="38" xfId="0" applyFont="1" applyFill="1" applyBorder="1" applyAlignment="1" applyProtection="1">
      <alignment horizontal="right" vertical="center"/>
      <protection/>
    </xf>
    <xf numFmtId="0" fontId="27" fillId="24" borderId="39" xfId="0" applyFont="1" applyFill="1" applyBorder="1" applyAlignment="1" applyProtection="1">
      <alignment horizontal="right" vertical="center"/>
      <protection/>
    </xf>
    <xf numFmtId="0" fontId="26" fillId="0" borderId="40" xfId="0" applyFont="1" applyFill="1" applyBorder="1" applyAlignment="1" applyProtection="1">
      <alignment horizontal="left" vertical="center"/>
      <protection/>
    </xf>
    <xf numFmtId="3" fontId="27" fillId="24" borderId="14" xfId="0" applyNumberFormat="1" applyFont="1" applyFill="1" applyBorder="1" applyAlignment="1" applyProtection="1">
      <alignment horizontal="right" vertical="center"/>
      <protection/>
    </xf>
    <xf numFmtId="3" fontId="29" fillId="20" borderId="11" xfId="0" applyNumberFormat="1" applyFont="1" applyFill="1" applyBorder="1" applyAlignment="1" applyProtection="1">
      <alignment horizontal="right" vertical="center"/>
      <protection locked="0"/>
    </xf>
    <xf numFmtId="3" fontId="27" fillId="24" borderId="36" xfId="0" applyNumberFormat="1" applyFont="1" applyFill="1" applyBorder="1" applyAlignment="1" applyProtection="1">
      <alignment horizontal="right" vertical="center"/>
      <protection/>
    </xf>
    <xf numFmtId="0" fontId="29" fillId="24" borderId="41" xfId="0" applyFont="1" applyFill="1" applyBorder="1" applyAlignment="1" applyProtection="1">
      <alignment horizontal="left" vertical="center"/>
      <protection/>
    </xf>
    <xf numFmtId="0" fontId="29" fillId="24" borderId="42" xfId="0" applyFont="1" applyFill="1" applyBorder="1" applyAlignment="1" applyProtection="1">
      <alignment horizontal="left" vertical="center"/>
      <protection/>
    </xf>
    <xf numFmtId="3" fontId="31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3" xfId="0" applyNumberFormat="1" applyFont="1" applyFill="1" applyBorder="1" applyAlignment="1" applyProtection="1">
      <alignment horizontal="righ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37" xfId="0" applyNumberFormat="1" applyFont="1" applyFill="1" applyBorder="1" applyAlignment="1" applyProtection="1">
      <alignment horizontal="left" vertical="center"/>
      <protection/>
    </xf>
    <xf numFmtId="4" fontId="29" fillId="24" borderId="39" xfId="0" applyNumberFormat="1" applyFont="1" applyFill="1" applyBorder="1" applyAlignment="1" applyProtection="1">
      <alignment horizontal="right" vertical="center"/>
      <protection/>
    </xf>
    <xf numFmtId="0" fontId="29" fillId="24" borderId="44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left" vertical="center"/>
      <protection/>
    </xf>
    <xf numFmtId="4" fontId="29" fillId="24" borderId="46" xfId="0" applyNumberFormat="1" applyFont="1" applyFill="1" applyBorder="1" applyAlignment="1" applyProtection="1">
      <alignment horizontal="left" vertical="center"/>
      <protection/>
    </xf>
    <xf numFmtId="17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5" borderId="47" xfId="0" applyNumberFormat="1" applyFont="1" applyFill="1" applyBorder="1" applyAlignment="1" applyProtection="1">
      <alignment horizontal="right" vertical="center"/>
      <protection/>
    </xf>
    <xf numFmtId="0" fontId="29" fillId="24" borderId="42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left" vertical="center"/>
      <protection/>
    </xf>
    <xf numFmtId="0" fontId="29" fillId="24" borderId="45" xfId="0" applyFont="1" applyFill="1" applyBorder="1" applyAlignment="1" applyProtection="1">
      <alignment horizontal="right" vertical="center"/>
      <protection/>
    </xf>
    <xf numFmtId="0" fontId="29" fillId="24" borderId="48" xfId="0" applyFont="1" applyFill="1" applyBorder="1" applyAlignment="1" applyProtection="1">
      <alignment horizontal="left" vertical="center"/>
      <protection/>
    </xf>
    <xf numFmtId="0" fontId="29" fillId="24" borderId="48" xfId="0" applyFont="1" applyFill="1" applyBorder="1" applyAlignment="1" applyProtection="1">
      <alignment horizontal="center" vertical="center"/>
      <protection/>
    </xf>
    <xf numFmtId="3" fontId="29" fillId="24" borderId="26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left" vertical="center"/>
      <protection/>
    </xf>
    <xf numFmtId="4" fontId="29" fillId="24" borderId="49" xfId="0" applyNumberFormat="1" applyFont="1" applyFill="1" applyBorder="1" applyAlignment="1" applyProtection="1">
      <alignment horizontal="right" vertical="center"/>
      <protection/>
    </xf>
    <xf numFmtId="4" fontId="29" fillId="24" borderId="50" xfId="0" applyNumberFormat="1" applyFont="1" applyFill="1" applyBorder="1" applyAlignment="1" applyProtection="1">
      <alignment horizontal="right" vertical="center"/>
      <protection/>
    </xf>
    <xf numFmtId="0" fontId="27" fillId="24" borderId="46" xfId="0" applyFont="1" applyFill="1" applyBorder="1" applyAlignment="1" applyProtection="1">
      <alignment vertical="center"/>
      <protection/>
    </xf>
    <xf numFmtId="0" fontId="27" fillId="24" borderId="47" xfId="0" applyFont="1" applyFill="1" applyBorder="1" applyAlignment="1" applyProtection="1">
      <alignment horizontal="left" vertical="center"/>
      <protection/>
    </xf>
    <xf numFmtId="17" fontId="27" fillId="24" borderId="45" xfId="0" applyNumberFormat="1" applyFont="1" applyFill="1" applyBorder="1" applyAlignment="1" applyProtection="1">
      <alignment horizontal="right" vertical="center"/>
      <protection/>
    </xf>
    <xf numFmtId="3" fontId="27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51" xfId="0" applyNumberFormat="1" applyFont="1" applyFill="1" applyBorder="1" applyAlignment="1" applyProtection="1">
      <alignment horizontal="left" vertical="center"/>
      <protection/>
    </xf>
    <xf numFmtId="2" fontId="27" fillId="24" borderId="38" xfId="0" applyNumberFormat="1" applyFont="1" applyFill="1" applyBorder="1" applyAlignment="1" applyProtection="1">
      <alignment horizontal="right" vertical="center"/>
      <protection/>
    </xf>
    <xf numFmtId="0" fontId="27" fillId="24" borderId="51" xfId="0" applyFont="1" applyFill="1" applyBorder="1" applyAlignment="1" applyProtection="1">
      <alignment horizontal="left" vertical="center"/>
      <protection/>
    </xf>
    <xf numFmtId="3" fontId="27" fillId="24" borderId="52" xfId="0" applyNumberFormat="1" applyFont="1" applyFill="1" applyBorder="1" applyAlignment="1" applyProtection="1">
      <alignment horizontal="right" vertical="center"/>
      <protection/>
    </xf>
    <xf numFmtId="2" fontId="27" fillId="24" borderId="53" xfId="0" applyNumberFormat="1" applyFont="1" applyFill="1" applyBorder="1" applyAlignment="1" applyProtection="1">
      <alignment horizontal="right" vertical="center"/>
      <protection/>
    </xf>
    <xf numFmtId="0" fontId="26" fillId="24" borderId="48" xfId="0" applyFont="1" applyFill="1" applyBorder="1" applyAlignment="1" applyProtection="1">
      <alignment horizontal="left" vertical="center"/>
      <protection/>
    </xf>
    <xf numFmtId="0" fontId="27" fillId="24" borderId="48" xfId="0" applyFont="1" applyFill="1" applyBorder="1" applyAlignment="1" applyProtection="1">
      <alignment horizontal="right" vertical="center"/>
      <protection/>
    </xf>
    <xf numFmtId="3" fontId="29" fillId="20" borderId="26" xfId="0" applyNumberFormat="1" applyFont="1" applyFill="1" applyBorder="1" applyAlignment="1" applyProtection="1">
      <alignment horizontal="right" vertical="center"/>
      <protection locked="0"/>
    </xf>
    <xf numFmtId="3" fontId="27" fillId="24" borderId="48" xfId="0" applyNumberFormat="1" applyFont="1" applyFill="1" applyBorder="1" applyAlignment="1" applyProtection="1">
      <alignment horizontal="right" vertical="center"/>
      <protection/>
    </xf>
    <xf numFmtId="3" fontId="27" fillId="24" borderId="26" xfId="0" applyNumberFormat="1" applyFont="1" applyFill="1" applyBorder="1" applyAlignment="1" applyProtection="1">
      <alignment horizontal="right" vertical="center"/>
      <protection/>
    </xf>
    <xf numFmtId="3" fontId="27" fillId="24" borderId="35" xfId="0" applyNumberFormat="1" applyFont="1" applyFill="1" applyBorder="1" applyAlignment="1" applyProtection="1">
      <alignment horizontal="right" vertical="center"/>
      <protection/>
    </xf>
    <xf numFmtId="3" fontId="29" fillId="24" borderId="41" xfId="0" applyNumberFormat="1" applyFont="1" applyFill="1" applyBorder="1" applyAlignment="1" applyProtection="1">
      <alignment horizontal="right" vertical="center"/>
      <protection/>
    </xf>
    <xf numFmtId="4" fontId="29" fillId="24" borderId="38" xfId="0" applyNumberFormat="1" applyFont="1" applyFill="1" applyBorder="1" applyAlignment="1" applyProtection="1">
      <alignment horizontal="right" vertical="center"/>
      <protection/>
    </xf>
    <xf numFmtId="4" fontId="29" fillId="24" borderId="54" xfId="0" applyNumberFormat="1" applyFont="1" applyFill="1" applyBorder="1" applyAlignment="1" applyProtection="1">
      <alignment horizontal="right" vertical="center"/>
      <protection/>
    </xf>
    <xf numFmtId="0" fontId="29" fillId="24" borderId="46" xfId="0" applyFont="1" applyFill="1" applyBorder="1" applyAlignment="1" applyProtection="1">
      <alignment vertical="center"/>
      <protection/>
    </xf>
    <xf numFmtId="0" fontId="29" fillId="24" borderId="47" xfId="0" applyFont="1" applyFill="1" applyBorder="1" applyAlignment="1" applyProtection="1">
      <alignment horizontal="left" vertical="center"/>
      <protection/>
    </xf>
    <xf numFmtId="3" fontId="29" fillId="24" borderId="55" xfId="0" applyNumberFormat="1" applyFont="1" applyFill="1" applyBorder="1" applyAlignment="1" applyProtection="1">
      <alignment horizontal="right" vertical="center"/>
      <protection/>
    </xf>
    <xf numFmtId="0" fontId="29" fillId="24" borderId="56" xfId="0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6" xfId="0" applyFont="1" applyFill="1" applyBorder="1" applyAlignment="1" applyProtection="1">
      <alignment horizontal="right" vertical="center" wrapText="1"/>
      <protection/>
    </xf>
    <xf numFmtId="0" fontId="21" fillId="4" borderId="57" xfId="0" applyFont="1" applyFill="1" applyBorder="1" applyAlignment="1" applyProtection="1">
      <alignment horizontal="center" vertical="center" wrapText="1"/>
      <protection/>
    </xf>
    <xf numFmtId="0" fontId="21" fillId="4" borderId="58" xfId="0" applyFont="1" applyFill="1" applyBorder="1" applyAlignment="1" applyProtection="1">
      <alignment horizontal="right" vertical="center" wrapText="1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31" fillId="4" borderId="59" xfId="0" applyFont="1" applyFill="1" applyBorder="1" applyAlignment="1" applyProtection="1">
      <alignment horizontal="left" vertical="center"/>
      <protection/>
    </xf>
    <xf numFmtId="3" fontId="29" fillId="4" borderId="39" xfId="0" applyNumberFormat="1" applyFont="1" applyFill="1" applyBorder="1" applyAlignment="1" applyProtection="1">
      <alignment horizontal="right" vertical="center"/>
      <protection/>
    </xf>
    <xf numFmtId="0" fontId="29" fillId="24" borderId="60" xfId="0" applyFont="1" applyFill="1" applyBorder="1" applyAlignment="1" applyProtection="1">
      <alignment vertical="center"/>
      <protection/>
    </xf>
    <xf numFmtId="0" fontId="29" fillId="24" borderId="60" xfId="0" applyFont="1" applyFill="1" applyBorder="1" applyAlignment="1" applyProtection="1">
      <alignment horizontal="left" vertical="center"/>
      <protection/>
    </xf>
    <xf numFmtId="0" fontId="29" fillId="24" borderId="60" xfId="0" applyFont="1" applyFill="1" applyBorder="1" applyAlignment="1" applyProtection="1">
      <alignment horizontal="right"/>
      <protection/>
    </xf>
    <xf numFmtId="3" fontId="29" fillId="24" borderId="60" xfId="0" applyNumberFormat="1" applyFont="1" applyFill="1" applyBorder="1" applyAlignment="1" applyProtection="1">
      <alignment horizontal="right" vertical="center"/>
      <protection/>
    </xf>
    <xf numFmtId="3" fontId="29" fillId="24" borderId="60" xfId="0" applyNumberFormat="1" applyFont="1" applyFill="1" applyBorder="1" applyAlignment="1" applyProtection="1">
      <alignment horizontal="left" vertical="center"/>
      <protection/>
    </xf>
    <xf numFmtId="3" fontId="29" fillId="24" borderId="36" xfId="0" applyNumberFormat="1" applyFont="1" applyFill="1" applyBorder="1" applyAlignment="1" applyProtection="1">
      <alignment horizontal="right" vertical="center"/>
      <protection/>
    </xf>
    <xf numFmtId="0" fontId="31" fillId="0" borderId="40" xfId="0" applyFont="1" applyBorder="1" applyAlignment="1" applyProtection="1">
      <alignment wrapText="1"/>
      <protection/>
    </xf>
    <xf numFmtId="0" fontId="29" fillId="24" borderId="61" xfId="0" applyFont="1" applyFill="1" applyBorder="1" applyAlignment="1" applyProtection="1">
      <alignment horizontal="left" vertical="center"/>
      <protection/>
    </xf>
    <xf numFmtId="3" fontId="29" fillId="24" borderId="61" xfId="0" applyNumberFormat="1" applyFont="1" applyFill="1" applyBorder="1" applyAlignment="1" applyProtection="1">
      <alignment horizontal="right" vertical="center"/>
      <protection/>
    </xf>
    <xf numFmtId="167" fontId="29" fillId="20" borderId="41" xfId="0" applyNumberFormat="1" applyFont="1" applyFill="1" applyBorder="1" applyAlignment="1" applyProtection="1">
      <alignment horizontal="right" vertical="center"/>
      <protection locked="0"/>
    </xf>
    <xf numFmtId="3" fontId="27" fillId="24" borderId="62" xfId="0" applyNumberFormat="1" applyFont="1" applyFill="1" applyBorder="1" applyAlignment="1" applyProtection="1">
      <alignment horizontal="right" vertical="center"/>
      <protection/>
    </xf>
    <xf numFmtId="3" fontId="27" fillId="24" borderId="47" xfId="0" applyNumberFormat="1" applyFont="1" applyFill="1" applyBorder="1" applyAlignment="1" applyProtection="1">
      <alignment horizontal="right" vertical="center"/>
      <protection/>
    </xf>
    <xf numFmtId="3" fontId="27" fillId="24" borderId="62" xfId="0" applyNumberFormat="1" applyFont="1" applyFill="1" applyBorder="1" applyAlignment="1" applyProtection="1">
      <alignment horizontal="left" vertical="center"/>
      <protection/>
    </xf>
    <xf numFmtId="3" fontId="27" fillId="24" borderId="49" xfId="0" applyNumberFormat="1" applyFont="1" applyFill="1" applyBorder="1" applyAlignment="1" applyProtection="1">
      <alignment horizontal="right" vertical="center"/>
      <protection/>
    </xf>
    <xf numFmtId="3" fontId="27" fillId="24" borderId="63" xfId="0" applyNumberFormat="1" applyFont="1" applyFill="1" applyBorder="1" applyAlignment="1" applyProtection="1">
      <alignment horizontal="right" vertical="center"/>
      <protection/>
    </xf>
    <xf numFmtId="0" fontId="26" fillId="24" borderId="64" xfId="0" applyFont="1" applyFill="1" applyBorder="1" applyAlignment="1" applyProtection="1">
      <alignment horizontal="left" vertical="center"/>
      <protection/>
    </xf>
    <xf numFmtId="0" fontId="26" fillId="24" borderId="65" xfId="0" applyFont="1" applyFill="1" applyBorder="1" applyAlignment="1" applyProtection="1">
      <alignment horizontal="left" vertical="center"/>
      <protection/>
    </xf>
    <xf numFmtId="3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6" fillId="24" borderId="62" xfId="0" applyFont="1" applyFill="1" applyBorder="1" applyAlignment="1" applyProtection="1">
      <alignment horizontal="left" vertical="center"/>
      <protection/>
    </xf>
    <xf numFmtId="3" fontId="29" fillId="20" borderId="47" xfId="0" applyNumberFormat="1" applyFont="1" applyFill="1" applyBorder="1" applyAlignment="1" applyProtection="1">
      <alignment horizontal="right" vertical="center"/>
      <protection locked="0"/>
    </xf>
    <xf numFmtId="3" fontId="29" fillId="24" borderId="62" xfId="0" applyNumberFormat="1" applyFont="1" applyFill="1" applyBorder="1" applyAlignment="1" applyProtection="1">
      <alignment horizontal="left" vertical="center"/>
      <protection/>
    </xf>
    <xf numFmtId="0" fontId="27" fillId="24" borderId="51" xfId="0" applyFont="1" applyFill="1" applyBorder="1" applyAlignment="1" applyProtection="1">
      <alignment vertical="center"/>
      <protection/>
    </xf>
    <xf numFmtId="0" fontId="27" fillId="24" borderId="66" xfId="0" applyFont="1" applyFill="1" applyBorder="1" applyAlignment="1" applyProtection="1">
      <alignment horizontal="left" vertical="center"/>
      <protection/>
    </xf>
    <xf numFmtId="3" fontId="27" fillId="24" borderId="67" xfId="0" applyNumberFormat="1" applyFont="1" applyFill="1" applyBorder="1" applyAlignment="1" applyProtection="1">
      <alignment horizontal="right" vertical="center"/>
      <protection/>
    </xf>
    <xf numFmtId="3" fontId="29" fillId="20" borderId="68" xfId="0" applyNumberFormat="1" applyFont="1" applyFill="1" applyBorder="1" applyAlignment="1" applyProtection="1">
      <alignment horizontal="right" vertical="center"/>
      <protection locked="0"/>
    </xf>
    <xf numFmtId="3" fontId="29" fillId="24" borderId="69" xfId="0" applyNumberFormat="1" applyFont="1" applyFill="1" applyBorder="1" applyAlignment="1" applyProtection="1">
      <alignment horizontal="left" vertical="center"/>
      <protection/>
    </xf>
    <xf numFmtId="3" fontId="27" fillId="24" borderId="66" xfId="0" applyNumberFormat="1" applyFont="1" applyFill="1" applyBorder="1" applyAlignment="1" applyProtection="1">
      <alignment horizontal="right" vertical="center"/>
      <protection/>
    </xf>
    <xf numFmtId="3" fontId="27" fillId="24" borderId="52" xfId="0" applyNumberFormat="1" applyFont="1" applyFill="1" applyBorder="1" applyAlignment="1" applyProtection="1">
      <alignment horizontal="left" vertical="center"/>
      <protection/>
    </xf>
    <xf numFmtId="3" fontId="27" fillId="24" borderId="53" xfId="0" applyNumberFormat="1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4" fontId="31" fillId="24" borderId="51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4" fontId="31" fillId="24" borderId="70" xfId="0" applyNumberFormat="1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0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 vertical="center"/>
      <protection/>
    </xf>
    <xf numFmtId="3" fontId="31" fillId="24" borderId="65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17" fontId="29" fillId="24" borderId="71" xfId="0" applyNumberFormat="1" applyFont="1" applyFill="1" applyBorder="1" applyAlignment="1" applyProtection="1">
      <alignment horizontal="right" vertical="center"/>
      <protection/>
    </xf>
    <xf numFmtId="4" fontId="31" fillId="24" borderId="42" xfId="0" applyNumberFormat="1" applyFont="1" applyFill="1" applyBorder="1" applyAlignment="1" applyProtection="1">
      <alignment horizontal="left" vertical="center"/>
      <protection/>
    </xf>
    <xf numFmtId="4" fontId="31" fillId="24" borderId="65" xfId="0" applyNumberFormat="1" applyFont="1" applyFill="1" applyBorder="1" applyAlignment="1" applyProtection="1">
      <alignment horizontal="left" vertical="center"/>
      <protection/>
    </xf>
    <xf numFmtId="0" fontId="27" fillId="24" borderId="65" xfId="0" applyFont="1" applyFill="1" applyBorder="1" applyAlignment="1" applyProtection="1">
      <alignment horizontal="left" vertical="center"/>
      <protection/>
    </xf>
    <xf numFmtId="0" fontId="27" fillId="24" borderId="64" xfId="0" applyFont="1" applyFill="1" applyBorder="1" applyAlignment="1" applyProtection="1">
      <alignment horizontal="left" vertical="center"/>
      <protection/>
    </xf>
    <xf numFmtId="4" fontId="29" fillId="24" borderId="42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/>
      <protection/>
    </xf>
    <xf numFmtId="0" fontId="0" fillId="24" borderId="72" xfId="0" applyFont="1" applyFill="1" applyBorder="1" applyAlignment="1" applyProtection="1">
      <alignment/>
      <protection/>
    </xf>
    <xf numFmtId="0" fontId="29" fillId="24" borderId="65" xfId="0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1" xfId="0" applyNumberFormat="1" applyFont="1" applyFill="1" applyBorder="1" applyAlignment="1" applyProtection="1">
      <alignment horizontal="right" vertical="center"/>
      <protection/>
    </xf>
    <xf numFmtId="0" fontId="29" fillId="24" borderId="72" xfId="0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3" fontId="27" fillId="24" borderId="65" xfId="0" applyNumberFormat="1" applyFont="1" applyFill="1" applyBorder="1" applyAlignment="1" applyProtection="1">
      <alignment horizontal="left" vertical="center"/>
      <protection/>
    </xf>
    <xf numFmtId="3" fontId="27" fillId="20" borderId="29" xfId="0" applyNumberFormat="1" applyFont="1" applyFill="1" applyBorder="1" applyAlignment="1" applyProtection="1">
      <alignment horizontal="right" vertical="center"/>
      <protection locked="0"/>
    </xf>
    <xf numFmtId="3" fontId="29" fillId="24" borderId="57" xfId="0" applyNumberFormat="1" applyFont="1" applyFill="1" applyBorder="1" applyAlignment="1" applyProtection="1">
      <alignment horizontal="right" vertical="center"/>
      <protection/>
    </xf>
    <xf numFmtId="3" fontId="29" fillId="24" borderId="73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righ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74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0" borderId="21" xfId="0" applyNumberFormat="1" applyFont="1" applyFill="1" applyBorder="1" applyAlignment="1" applyProtection="1">
      <alignment horizontal="right" vertical="center"/>
      <protection locked="0"/>
    </xf>
    <xf numFmtId="166" fontId="29" fillId="20" borderId="26" xfId="0" applyNumberFormat="1" applyFont="1" applyFill="1" applyBorder="1" applyAlignment="1" applyProtection="1">
      <alignment horizontal="right" vertical="center"/>
      <protection locked="0"/>
    </xf>
    <xf numFmtId="166" fontId="29" fillId="20" borderId="35" xfId="0" applyNumberFormat="1" applyFont="1" applyFill="1" applyBorder="1" applyAlignment="1" applyProtection="1">
      <alignment horizontal="right" vertical="center"/>
      <protection locked="0"/>
    </xf>
    <xf numFmtId="166" fontId="29" fillId="25" borderId="45" xfId="0" applyNumberFormat="1" applyFont="1" applyFill="1" applyBorder="1" applyAlignment="1" applyProtection="1">
      <alignment horizontal="right" vertical="center"/>
      <protection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5" borderId="47" xfId="0" applyNumberFormat="1" applyFont="1" applyFill="1" applyBorder="1" applyAlignment="1" applyProtection="1">
      <alignment horizontal="right" vertical="center"/>
      <protection/>
    </xf>
    <xf numFmtId="166" fontId="29" fillId="20" borderId="38" xfId="0" applyNumberFormat="1" applyFont="1" applyFill="1" applyBorder="1" applyAlignment="1" applyProtection="1">
      <alignment horizontal="right" vertical="center"/>
      <protection locked="0"/>
    </xf>
    <xf numFmtId="166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5" borderId="49" xfId="0" applyNumberFormat="1" applyFont="1" applyFill="1" applyBorder="1" applyAlignment="1" applyProtection="1">
      <alignment horizontal="right" vertical="center"/>
      <protection/>
    </xf>
    <xf numFmtId="166" fontId="29" fillId="24" borderId="39" xfId="0" applyNumberFormat="1" applyFont="1" applyFill="1" applyBorder="1" applyAlignment="1" applyProtection="1">
      <alignment horizontal="right" vertical="center"/>
      <protection/>
    </xf>
    <xf numFmtId="166" fontId="29" fillId="24" borderId="29" xfId="0" applyNumberFormat="1" applyFont="1" applyFill="1" applyBorder="1" applyAlignment="1" applyProtection="1">
      <alignment horizontal="right" vertical="center"/>
      <protection/>
    </xf>
    <xf numFmtId="166" fontId="29" fillId="24" borderId="35" xfId="0" applyNumberFormat="1" applyFont="1" applyFill="1" applyBorder="1" applyAlignment="1" applyProtection="1">
      <alignment horizontal="right" vertical="center"/>
      <protection/>
    </xf>
    <xf numFmtId="3" fontId="29" fillId="25" borderId="47" xfId="0" applyNumberFormat="1" applyFont="1" applyFill="1" applyBorder="1" applyAlignment="1" applyProtection="1">
      <alignment horizontal="right" vertical="center"/>
      <protection/>
    </xf>
    <xf numFmtId="1" fontId="29" fillId="25" borderId="49" xfId="0" applyNumberFormat="1" applyFont="1" applyFill="1" applyBorder="1" applyAlignment="1" applyProtection="1">
      <alignment horizontal="right" vertical="center"/>
      <protection/>
    </xf>
    <xf numFmtId="3" fontId="29" fillId="25" borderId="75" xfId="0" applyNumberFormat="1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right" vertical="center"/>
      <protection/>
    </xf>
    <xf numFmtId="3" fontId="29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75" xfId="0" applyNumberFormat="1" applyFont="1" applyFill="1" applyBorder="1" applyAlignment="1" applyProtection="1">
      <alignment horizontal="right" vertical="center"/>
      <protection/>
    </xf>
    <xf numFmtId="167" fontId="29" fillId="24" borderId="54" xfId="0" applyNumberFormat="1" applyFont="1" applyFill="1" applyBorder="1" applyAlignment="1" applyProtection="1">
      <alignment horizontal="right" vertical="center"/>
      <protection/>
    </xf>
    <xf numFmtId="3" fontId="29" fillId="24" borderId="76" xfId="0" applyNumberFormat="1" applyFont="1" applyFill="1" applyBorder="1" applyAlignment="1" applyProtection="1">
      <alignment horizontal="right" vertical="center"/>
      <protection/>
    </xf>
    <xf numFmtId="3" fontId="29" fillId="24" borderId="77" xfId="0" applyNumberFormat="1" applyFont="1" applyFill="1" applyBorder="1" applyAlignment="1" applyProtection="1">
      <alignment horizontal="right" vertical="center"/>
      <protection/>
    </xf>
    <xf numFmtId="3" fontId="29" fillId="24" borderId="78" xfId="0" applyNumberFormat="1" applyFont="1" applyFill="1" applyBorder="1" applyAlignment="1" applyProtection="1">
      <alignment horizontal="right" vertical="center"/>
      <protection/>
    </xf>
    <xf numFmtId="4" fontId="29" fillId="24" borderId="43" xfId="0" applyNumberFormat="1" applyFont="1" applyFill="1" applyBorder="1" applyAlignment="1" applyProtection="1">
      <alignment horizontal="right" vertical="center"/>
      <protection/>
    </xf>
    <xf numFmtId="3" fontId="10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3" fontId="27" fillId="25" borderId="32" xfId="0" applyNumberFormat="1" applyFont="1" applyFill="1" applyBorder="1" applyAlignment="1" applyProtection="1">
      <alignment horizontal="right" vertical="center"/>
      <protection/>
    </xf>
    <xf numFmtId="3" fontId="27" fillId="25" borderId="38" xfId="0" applyNumberFormat="1" applyFont="1" applyFill="1" applyBorder="1" applyAlignment="1" applyProtection="1">
      <alignment horizontal="right" vertical="center"/>
      <protection/>
    </xf>
    <xf numFmtId="3" fontId="27" fillId="25" borderId="29" xfId="0" applyNumberFormat="1" applyFont="1" applyFill="1" applyBorder="1" applyAlignment="1" applyProtection="1">
      <alignment horizontal="right" vertical="center"/>
      <protection/>
    </xf>
    <xf numFmtId="166" fontId="29" fillId="20" borderId="28" xfId="0" applyNumberFormat="1" applyFont="1" applyFill="1" applyBorder="1" applyAlignment="1" applyProtection="1">
      <alignment horizontal="right" vertical="center"/>
      <protection locked="0"/>
    </xf>
    <xf numFmtId="166" fontId="29" fillId="24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1" fillId="24" borderId="64" xfId="0" applyNumberFormat="1" applyFont="1" applyFill="1" applyBorder="1" applyAlignment="1" applyProtection="1">
      <alignment horizontal="left" vertical="center"/>
      <protection/>
    </xf>
    <xf numFmtId="0" fontId="31" fillId="24" borderId="79" xfId="0" applyFont="1" applyFill="1" applyBorder="1" applyAlignment="1" applyProtection="1">
      <alignment horizontal="left" vertical="center"/>
      <protection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31" fillId="24" borderId="79" xfId="0" applyFont="1" applyFill="1" applyBorder="1" applyAlignment="1" applyProtection="1">
      <alignment horizontal="left" vertical="center" wrapText="1"/>
      <protection/>
    </xf>
    <xf numFmtId="0" fontId="0" fillId="0" borderId="80" xfId="0" applyBorder="1" applyAlignment="1" applyProtection="1">
      <alignment horizontal="left" vertical="center"/>
      <protection/>
    </xf>
    <xf numFmtId="0" fontId="24" fillId="4" borderId="31" xfId="0" applyFont="1" applyFill="1" applyBorder="1" applyAlignment="1" applyProtection="1">
      <alignment horizontal="center" vertical="center" wrapText="1"/>
      <protection/>
    </xf>
    <xf numFmtId="0" fontId="56" fillId="4" borderId="0" xfId="0" applyFont="1" applyFill="1" applyBorder="1" applyAlignment="1" applyProtection="1">
      <alignment/>
      <protection/>
    </xf>
    <xf numFmtId="0" fontId="56" fillId="4" borderId="32" xfId="0" applyFont="1" applyFill="1" applyBorder="1" applyAlignment="1" applyProtection="1">
      <alignment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26" fillId="24" borderId="82" xfId="0" applyFont="1" applyFill="1" applyBorder="1" applyAlignment="1" applyProtection="1">
      <alignment horizontal="left" vertical="center"/>
      <protection/>
    </xf>
    <xf numFmtId="0" fontId="26" fillId="24" borderId="83" xfId="0" applyFont="1" applyFill="1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left" vertical="center"/>
      <protection/>
    </xf>
    <xf numFmtId="0" fontId="0" fillId="0" borderId="84" xfId="0" applyBorder="1" applyAlignment="1" applyProtection="1">
      <alignment horizontal="left" vertical="center"/>
      <protection/>
    </xf>
    <xf numFmtId="0" fontId="21" fillId="4" borderId="85" xfId="0" applyFont="1" applyFill="1" applyBorder="1" applyAlignment="1" applyProtection="1">
      <alignment horizontal="left" vertical="center" wrapText="1"/>
      <protection/>
    </xf>
    <xf numFmtId="0" fontId="22" fillId="4" borderId="86" xfId="0" applyFont="1" applyFill="1" applyBorder="1" applyAlignment="1" applyProtection="1">
      <alignment horizontal="left" vertical="center" wrapText="1"/>
      <protection/>
    </xf>
    <xf numFmtId="0" fontId="22" fillId="4" borderId="87" xfId="0" applyFont="1" applyFill="1" applyBorder="1" applyAlignment="1" applyProtection="1">
      <alignment horizontal="left" vertical="center" wrapText="1"/>
      <protection/>
    </xf>
    <xf numFmtId="0" fontId="22" fillId="4" borderId="30" xfId="0" applyFont="1" applyFill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 applyProtection="1">
      <alignment horizontal="left" vertical="center" wrapText="1"/>
      <protection/>
    </xf>
    <xf numFmtId="0" fontId="22" fillId="4" borderId="18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6" xfId="0" applyFont="1" applyFill="1" applyBorder="1" applyAlignment="1" applyProtection="1">
      <alignment horizontal="left" vertical="center" wrapText="1"/>
      <protection/>
    </xf>
    <xf numFmtId="0" fontId="26" fillId="0" borderId="79" xfId="0" applyFont="1" applyFill="1" applyBorder="1" applyAlignment="1" applyProtection="1">
      <alignment horizontal="left" vertical="center" wrapText="1"/>
      <protection/>
    </xf>
    <xf numFmtId="0" fontId="0" fillId="0" borderId="81" xfId="0" applyBorder="1" applyAlignment="1">
      <alignment horizontal="left" vertical="center" wrapText="1"/>
    </xf>
    <xf numFmtId="0" fontId="31" fillId="24" borderId="15" xfId="0" applyFont="1" applyFill="1" applyBorder="1" applyAlignment="1" applyProtection="1">
      <alignment horizontal="left" vertical="center" wrapText="1"/>
      <protection/>
    </xf>
    <xf numFmtId="0" fontId="31" fillId="24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31" fillId="24" borderId="83" xfId="0" applyFont="1" applyFill="1" applyBorder="1" applyAlignment="1" applyProtection="1">
      <alignment horizontal="left" vertical="center" wrapText="1"/>
      <protection/>
    </xf>
    <xf numFmtId="0" fontId="31" fillId="24" borderId="83" xfId="0" applyFont="1" applyFill="1" applyBorder="1" applyAlignment="1" applyProtection="1">
      <alignment horizontal="left" vertical="center"/>
      <protection/>
    </xf>
    <xf numFmtId="0" fontId="30" fillId="11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26" fillId="24" borderId="88" xfId="0" applyFont="1" applyFill="1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/>
      <protection/>
    </xf>
    <xf numFmtId="0" fontId="57" fillId="4" borderId="90" xfId="0" applyFont="1" applyFill="1" applyBorder="1" applyAlignment="1" applyProtection="1">
      <alignment horizontal="center" wrapText="1"/>
      <protection/>
    </xf>
    <xf numFmtId="0" fontId="57" fillId="0" borderId="45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91" xfId="0" applyFont="1" applyBorder="1" applyAlignment="1">
      <alignment horizontal="center"/>
    </xf>
    <xf numFmtId="0" fontId="57" fillId="0" borderId="92" xfId="0" applyFont="1" applyBorder="1" applyAlignment="1">
      <alignment horizontal="center"/>
    </xf>
    <xf numFmtId="0" fontId="57" fillId="0" borderId="93" xfId="0" applyFont="1" applyBorder="1" applyAlignment="1">
      <alignment horizontal="center"/>
    </xf>
    <xf numFmtId="0" fontId="23" fillId="4" borderId="94" xfId="0" applyFont="1" applyFill="1" applyBorder="1" applyAlignment="1" applyProtection="1">
      <alignment horizontal="center"/>
      <protection/>
    </xf>
    <xf numFmtId="0" fontId="0" fillId="4" borderId="86" xfId="0" applyFill="1" applyBorder="1" applyAlignment="1" applyProtection="1">
      <alignment horizontal="center"/>
      <protection/>
    </xf>
    <xf numFmtId="0" fontId="0" fillId="4" borderId="95" xfId="0" applyFill="1" applyBorder="1" applyAlignment="1" applyProtection="1">
      <alignment horizontal="center"/>
      <protection/>
    </xf>
    <xf numFmtId="0" fontId="56" fillId="4" borderId="43" xfId="0" applyFont="1" applyFill="1" applyBorder="1" applyAlignment="1" applyProtection="1">
      <alignment/>
      <protection/>
    </xf>
    <xf numFmtId="0" fontId="0" fillId="4" borderId="86" xfId="0" applyFill="1" applyBorder="1" applyAlignment="1" applyProtection="1">
      <alignment/>
      <protection/>
    </xf>
    <xf numFmtId="0" fontId="0" fillId="4" borderId="87" xfId="0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0" fillId="0" borderId="96" xfId="0" applyBorder="1" applyAlignment="1" applyProtection="1">
      <alignment horizontal="left" vertical="center"/>
      <protection/>
    </xf>
    <xf numFmtId="0" fontId="0" fillId="4" borderId="87" xfId="0" applyFill="1" applyBorder="1" applyAlignment="1" applyProtection="1">
      <alignment horizont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0" fontId="0" fillId="0" borderId="98" xfId="0" applyBorder="1" applyAlignment="1" applyProtection="1">
      <alignment/>
      <protection/>
    </xf>
    <xf numFmtId="0" fontId="26" fillId="24" borderId="33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5"/>
          <c:w val="0.714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Projektkostenbarwertberechnung!$B$34:$B$58</c:f>
              <c:numCache>
                <c:ptCount val="25"/>
                <c:pt idx="0">
                  <c:v>1061494.9414298323</c:v>
                </c:pt>
                <c:pt idx="1">
                  <c:v>1100810.4185461742</c:v>
                </c:pt>
                <c:pt idx="2">
                  <c:v>1138980.784678545</c:v>
                </c:pt>
                <c:pt idx="3">
                  <c:v>1176039.3925740507</c:v>
                </c:pt>
                <c:pt idx="4">
                  <c:v>1212018.6235405612</c:v>
                </c:pt>
                <c:pt idx="5">
                  <c:v>1246949.9157410567</c:v>
                </c:pt>
                <c:pt idx="6">
                  <c:v>1280863.791663868</c:v>
                </c:pt>
                <c:pt idx="7">
                  <c:v>1313789.8847928108</c:v>
                </c:pt>
                <c:pt idx="8">
                  <c:v>1345756.9655005224</c:v>
                </c:pt>
                <c:pt idx="9">
                  <c:v>1376792.966187621</c:v>
                </c:pt>
                <c:pt idx="10">
                  <c:v>1406925.0056896585</c:v>
                </c:pt>
                <c:pt idx="11">
                  <c:v>1436179.41297319</c:v>
                </c:pt>
                <c:pt idx="12">
                  <c:v>1582079.90385749</c:v>
                </c:pt>
                <c:pt idx="13">
                  <c:v>1609654.9884870795</c:v>
                </c:pt>
                <c:pt idx="14">
                  <c:v>1636426.9153119237</c:v>
                </c:pt>
                <c:pt idx="15">
                  <c:v>1662419.0772777917</c:v>
                </c:pt>
                <c:pt idx="16">
                  <c:v>1687654.1859825184</c:v>
                </c:pt>
                <c:pt idx="17">
                  <c:v>1712154.2915210875</c:v>
                </c:pt>
                <c:pt idx="18">
                  <c:v>1735940.8017527082</c:v>
                </c:pt>
                <c:pt idx="19">
                  <c:v>1759034.501006709</c:v>
                </c:pt>
                <c:pt idx="20">
                  <c:v>1781455.5682436025</c:v>
                </c:pt>
                <c:pt idx="21">
                  <c:v>1803223.594687189</c:v>
                </c:pt>
                <c:pt idx="22">
                  <c:v>1824357.6009430978</c:v>
                </c:pt>
                <c:pt idx="23">
                  <c:v>1844876.0536187375</c:v>
                </c:pt>
                <c:pt idx="24">
                  <c:v>1864796.8814591644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Projektkostenbarwertberechnung!$D$34:$D$58</c:f>
              <c:numCache>
                <c:ptCount val="25"/>
                <c:pt idx="0">
                  <c:v>809581.6019763532</c:v>
                </c:pt>
                <c:pt idx="1">
                  <c:v>850922.9631184436</c:v>
                </c:pt>
                <c:pt idx="2">
                  <c:v>891060.2069457159</c:v>
                </c:pt>
                <c:pt idx="3">
                  <c:v>930028.4048362714</c:v>
                </c:pt>
                <c:pt idx="4">
                  <c:v>967861.6066717624</c:v>
                </c:pt>
                <c:pt idx="5">
                  <c:v>1004592.8705897147</c:v>
                </c:pt>
                <c:pt idx="6">
                  <c:v>1040254.2918692802</c:v>
                </c:pt>
                <c:pt idx="7">
                  <c:v>1074877.0309756543</c:v>
                </c:pt>
                <c:pt idx="8">
                  <c:v>1108491.340787668</c:v>
                </c:pt>
                <c:pt idx="9">
                  <c:v>1141126.5930323415</c:v>
                </c:pt>
                <c:pt idx="10">
                  <c:v>1172811.3039495004</c:v>
                </c:pt>
                <c:pt idx="11">
                  <c:v>1203573.1592088777</c:v>
                </c:pt>
                <c:pt idx="12">
                  <c:v>1388951.3003724192</c:v>
                </c:pt>
                <c:pt idx="13">
                  <c:v>1417947.2992972732</c:v>
                </c:pt>
                <c:pt idx="14">
                  <c:v>1446098.7545641216</c:v>
                </c:pt>
                <c:pt idx="15">
                  <c:v>1473430.2645319353</c:v>
                </c:pt>
                <c:pt idx="16">
                  <c:v>1499965.7111026286</c:v>
                </c:pt>
                <c:pt idx="17">
                  <c:v>1525728.2805887384</c:v>
                </c:pt>
                <c:pt idx="18">
                  <c:v>1550740.483973311</c:v>
                </c:pt>
                <c:pt idx="19">
                  <c:v>1575024.1765796926</c:v>
                </c:pt>
                <c:pt idx="20">
                  <c:v>1598600.5771684118</c:v>
                </c:pt>
                <c:pt idx="21">
                  <c:v>1621490.2864778487</c:v>
                </c:pt>
                <c:pt idx="22">
                  <c:v>1643713.3052248748</c:v>
                </c:pt>
                <c:pt idx="23">
                  <c:v>1665289.0515812102</c:v>
                </c:pt>
                <c:pt idx="24">
                  <c:v>1686236.3781407594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Projektkostenbarwertberechnung!$F$34:$F$58</c:f>
              <c:numCache>
                <c:ptCount val="25"/>
                <c:pt idx="0">
                  <c:v>743584.1950139883</c:v>
                </c:pt>
                <c:pt idx="1">
                  <c:v>795607.6853188312</c:v>
                </c:pt>
                <c:pt idx="2">
                  <c:v>846115.928333242</c:v>
                </c:pt>
                <c:pt idx="3">
                  <c:v>895153.0574734465</c:v>
                </c:pt>
                <c:pt idx="4">
                  <c:v>942761.9207163635</c:v>
                </c:pt>
                <c:pt idx="5">
                  <c:v>988984.1180395839</c:v>
                </c:pt>
                <c:pt idx="6">
                  <c:v>1033860.037770866</c:v>
                </c:pt>
                <c:pt idx="7">
                  <c:v>1077428.8918789066</c:v>
                </c:pt>
                <c:pt idx="8">
                  <c:v>1119728.7502362276</c:v>
                </c:pt>
                <c:pt idx="9">
                  <c:v>1160796.5738841123</c:v>
                </c:pt>
                <c:pt idx="10">
                  <c:v>1200668.2473286605</c:v>
                </c:pt>
                <c:pt idx="11">
                  <c:v>1239378.6098961828</c:v>
                </c:pt>
                <c:pt idx="12">
                  <c:v>1373724.6715883615</c:v>
                </c:pt>
                <c:pt idx="13">
                  <c:v>1410212.9009855927</c:v>
                </c:pt>
                <c:pt idx="14">
                  <c:v>1445638.3664197975</c:v>
                </c:pt>
                <c:pt idx="15">
                  <c:v>1480032.0221811614</c:v>
                </c:pt>
                <c:pt idx="16">
                  <c:v>1513423.9209786023</c:v>
                </c:pt>
                <c:pt idx="17">
                  <c:v>1545843.2401994185</c:v>
                </c:pt>
                <c:pt idx="18">
                  <c:v>1577318.3074040946</c:v>
                </c:pt>
                <c:pt idx="19">
                  <c:v>1607876.6250785373</c:v>
                </c:pt>
                <c:pt idx="20">
                  <c:v>1637544.8946653747</c:v>
                </c:pt>
                <c:pt idx="21">
                  <c:v>1666349.0398953145</c:v>
                </c:pt>
                <c:pt idx="22">
                  <c:v>1694314.229438945</c:v>
                </c:pt>
                <c:pt idx="23">
                  <c:v>1721464.89889878</c:v>
                </c:pt>
                <c:pt idx="24">
                  <c:v>1747824.7721607564</c:v>
                </c:pt>
              </c:numCache>
            </c:numRef>
          </c:yVal>
          <c:smooth val="0"/>
        </c:ser>
        <c:axId val="6792415"/>
        <c:axId val="61131736"/>
      </c:scatterChart>
      <c:valAx>
        <c:axId val="679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 [a]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31736"/>
        <c:crosses val="autoZero"/>
        <c:crossBetween val="midCat"/>
        <c:dispUnits/>
      </c:valAx>
      <c:valAx>
        <c:axId val="61131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Projektkostenbarwert [€]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924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1025"/>
          <c:w val="0.1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Vergleich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25"/>
          <c:w val="0.800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Ergebnisse'!$AF$84:$AF$101</c:f>
            </c:strRef>
          </c:cat>
          <c:val>
            <c:numRef>
              <c:f>'Dateneingabe und Ergebnisse'!$AE$84:$AE$101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Ergebnisse'!$AF$813:$AF$830</c:f>
              <c:strCache>
                <c:ptCount val="18"/>
                <c:pt idx="0">
                  <c:v>Variante "A"</c:v>
                </c:pt>
                <c:pt idx="1">
                  <c:v>Variante "F1"</c:v>
                </c:pt>
                <c:pt idx="2">
                  <c:v>Variante "F2"</c:v>
                </c:pt>
                <c:pt idx="3">
                  <c:v>Schlammbehandlung</c:v>
                </c:pt>
                <c:pt idx="4">
                  <c:v>Schlammbehandlung</c:v>
                </c:pt>
                <c:pt idx="5">
                  <c:v>Schlammbehandlung</c:v>
                </c:pt>
                <c:pt idx="6">
                  <c:v>LKW Transport</c:v>
                </c:pt>
                <c:pt idx="7">
                  <c:v>LKW Transport</c:v>
                </c:pt>
                <c:pt idx="8">
                  <c:v>LKW Transport</c:v>
                </c:pt>
                <c:pt idx="9">
                  <c:v>ele. CO2 Ersparnis</c:v>
                </c:pt>
                <c:pt idx="10">
                  <c:v>ele. CO2 Ersparnis</c:v>
                </c:pt>
                <c:pt idx="11">
                  <c:v>ele. CO2 Ersparnis</c:v>
                </c:pt>
                <c:pt idx="12">
                  <c:v>th. CO2 Ersparnis</c:v>
                </c:pt>
                <c:pt idx="13">
                  <c:v>th. CO2 Ersparnis</c:v>
                </c:pt>
                <c:pt idx="14">
                  <c:v>th. CO2 Ersparnis</c:v>
                </c:pt>
                <c:pt idx="15">
                  <c:v>GESAMT</c:v>
                </c:pt>
                <c:pt idx="16">
                  <c:v>GESAMT</c:v>
                </c:pt>
                <c:pt idx="17">
                  <c:v>GESAMT</c:v>
                </c:pt>
              </c:strCache>
            </c:strRef>
          </c:cat>
          <c:val>
            <c:numRef>
              <c:f>'Dateneingabe und Ergebnisse'!$AE$813:$AE$830</c:f>
              <c:numCache>
                <c:ptCount val="18"/>
                <c:pt idx="0">
                  <c:v>10.1208893</c:v>
                </c:pt>
                <c:pt idx="1">
                  <c:v>9.142376779999998</c:v>
                </c:pt>
                <c:pt idx="2">
                  <c:v>9.142376779999998</c:v>
                </c:pt>
                <c:pt idx="3">
                  <c:v>1.08403838</c:v>
                </c:pt>
                <c:pt idx="4">
                  <c:v>1.4917519300000002</c:v>
                </c:pt>
                <c:pt idx="5">
                  <c:v>1.2375305399999998</c:v>
                </c:pt>
                <c:pt idx="6">
                  <c:v>0</c:v>
                </c:pt>
                <c:pt idx="7">
                  <c:v>3.0958154852574418</c:v>
                </c:pt>
                <c:pt idx="8">
                  <c:v>6.097818380052536</c:v>
                </c:pt>
                <c:pt idx="9">
                  <c:v>0</c:v>
                </c:pt>
                <c:pt idx="10">
                  <c:v>-3.403496782799999</c:v>
                </c:pt>
                <c:pt idx="11">
                  <c:v>-3.403496782799999</c:v>
                </c:pt>
                <c:pt idx="12">
                  <c:v>0</c:v>
                </c:pt>
                <c:pt idx="13">
                  <c:v>-5.2424658</c:v>
                </c:pt>
                <c:pt idx="14">
                  <c:v>-5.2424658</c:v>
                </c:pt>
                <c:pt idx="15">
                  <c:v>11.20492768</c:v>
                </c:pt>
                <c:pt idx="16">
                  <c:v>5.083981612457439</c:v>
                </c:pt>
                <c:pt idx="17">
                  <c:v>7.831763117252535</c:v>
                </c:pt>
              </c:numCache>
            </c:numRef>
          </c:val>
        </c:ser>
        <c:axId val="13314713"/>
        <c:axId val="52723554"/>
      </c:barChart>
      <c:catAx>
        <c:axId val="1331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2723554"/>
        <c:crosses val="autoZero"/>
        <c:auto val="1"/>
        <c:lblOffset val="100"/>
        <c:tickLblSkip val="1"/>
        <c:noMultiLvlLbl val="0"/>
      </c:catAx>
      <c:valAx>
        <c:axId val="52723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Ausstoß [t/a]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14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19725"/>
          <c:w val="0.140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-0.01125"/>
          <c:w val="0.711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Projektkostenbarwertberechnung!$A$34:$A$83</c:f>
              <c:numCache/>
            </c:numRef>
          </c:xVal>
          <c:yVal>
            <c:numRef>
              <c:f>Projektkostenbarwertberechnung!$B$34:$B$83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Projektkostenbarwertberechnung!$D$34:$D$83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Projektkostenbarwertberechnung!$F$34:$F$83</c:f>
              <c:numCache/>
            </c:numRef>
          </c:yVal>
          <c:smooth val="1"/>
        </c:ser>
        <c:axId val="4749939"/>
        <c:axId val="42749452"/>
      </c:scatterChart>
      <c:valAx>
        <c:axId val="4749939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49452"/>
        <c:crosses val="autoZero"/>
        <c:crossBetween val="midCat"/>
        <c:dispUnits/>
      </c:valAx>
      <c:valAx>
        <c:axId val="42749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99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32575"/>
          <c:w val="0.247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729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Projektkostenbarwertberechnung!$A$34:$A$48</c:f>
              <c:numCache/>
            </c:numRef>
          </c:xVal>
          <c:yVal>
            <c:numRef>
              <c:f>Projektkostenbarwertberechnung!$B$34:$B$48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Projektkostenbarwertberechnung!$D$34:$D$48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Projektkostenbarwertberechnung!$F$34:$F$48</c:f>
              <c:numCache/>
            </c:numRef>
          </c:yVal>
          <c:smooth val="1"/>
        </c:ser>
        <c:axId val="49200749"/>
        <c:axId val="40153558"/>
      </c:scatterChart>
      <c:valAx>
        <c:axId val="49200749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53558"/>
        <c:crosses val="autoZero"/>
        <c:crossBetween val="midCat"/>
        <c:dispUnits/>
      </c:valAx>
      <c:valAx>
        <c:axId val="40153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007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33225"/>
          <c:w val="0.247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9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0"/>
  <sheetViews>
    <sheetView workbookViewId="0" zoomScale="115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47625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1</xdr:row>
      <xdr:rowOff>276225</xdr:rowOff>
    </xdr:from>
    <xdr:to>
      <xdr:col>2</xdr:col>
      <xdr:colOff>1000125</xdr:colOff>
      <xdr:row>2</xdr:row>
      <xdr:rowOff>676275</xdr:rowOff>
    </xdr:to>
    <xdr:pic>
      <xdr:nvPicPr>
        <xdr:cNvPr id="2" name="Picture 2" descr="IK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71550"/>
          <a:ext cx="483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0.18975</cdr:y>
    </cdr:from>
    <cdr:to>
      <cdr:x>0.19075</cdr:x>
      <cdr:y>0.24175</cdr:y>
    </cdr:to>
    <cdr:sp>
      <cdr:nvSpPr>
        <cdr:cNvPr id="1" name="WordArt 1"/>
        <cdr:cNvSpPr>
          <a:spLocks/>
        </cdr:cNvSpPr>
      </cdr:nvSpPr>
      <cdr:spPr>
        <a:xfrm>
          <a:off x="10668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Belüften +Rühren</a:t>
          </a:r>
        </a:p>
      </cdr:txBody>
    </cdr:sp>
  </cdr:relSizeAnchor>
  <cdr:relSizeAnchor xmlns:cdr="http://schemas.openxmlformats.org/drawingml/2006/chartDrawing">
    <cdr:from>
      <cdr:x>0.60425</cdr:x>
      <cdr:y>0.18975</cdr:y>
    </cdr:from>
    <cdr:to>
      <cdr:x>0.679</cdr:x>
      <cdr:y>0.24175</cdr:y>
    </cdr:to>
    <cdr:sp>
      <cdr:nvSpPr>
        <cdr:cNvPr id="2" name="WordArt 6"/>
        <cdr:cNvSpPr>
          <a:spLocks/>
        </cdr:cNvSpPr>
      </cdr:nvSpPr>
      <cdr:spPr>
        <a:xfrm>
          <a:off x="55626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th. CO2Ersparnis</a:t>
          </a:r>
        </a:p>
      </cdr:txBody>
    </cdr:sp>
  </cdr:relSizeAnchor>
  <cdr:relSizeAnchor xmlns:cdr="http://schemas.openxmlformats.org/drawingml/2006/chartDrawing">
    <cdr:from>
      <cdr:x>0.48025</cdr:x>
      <cdr:y>0.18975</cdr:y>
    </cdr:from>
    <cdr:to>
      <cdr:x>0.555</cdr:x>
      <cdr:y>0.24175</cdr:y>
    </cdr:to>
    <cdr:sp>
      <cdr:nvSpPr>
        <cdr:cNvPr id="3" name="WordArt 7"/>
        <cdr:cNvSpPr>
          <a:spLocks/>
        </cdr:cNvSpPr>
      </cdr:nvSpPr>
      <cdr:spPr>
        <a:xfrm>
          <a:off x="44196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ele. CO2Ersparnis</a:t>
          </a:r>
        </a:p>
      </cdr:txBody>
    </cdr:sp>
  </cdr:relSizeAnchor>
  <cdr:relSizeAnchor xmlns:cdr="http://schemas.openxmlformats.org/drawingml/2006/chartDrawing">
    <cdr:from>
      <cdr:x>0.36475</cdr:x>
      <cdr:y>0.18975</cdr:y>
    </cdr:from>
    <cdr:to>
      <cdr:x>0.43875</cdr:x>
      <cdr:y>0.24175</cdr:y>
    </cdr:to>
    <cdr:sp>
      <cdr:nvSpPr>
        <cdr:cNvPr id="4" name="WordArt 8"/>
        <cdr:cNvSpPr>
          <a:spLocks/>
        </cdr:cNvSpPr>
      </cdr:nvSpPr>
      <cdr:spPr>
        <a:xfrm>
          <a:off x="3362325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LKW - Transport</a:t>
          </a:r>
        </a:p>
      </cdr:txBody>
    </cdr:sp>
  </cdr:relSizeAnchor>
  <cdr:relSizeAnchor xmlns:cdr="http://schemas.openxmlformats.org/drawingml/2006/chartDrawing">
    <cdr:from>
      <cdr:x>0.23775</cdr:x>
      <cdr:y>0.18975</cdr:y>
    </cdr:from>
    <cdr:to>
      <cdr:x>0.314</cdr:x>
      <cdr:y>0.24175</cdr:y>
    </cdr:to>
    <cdr:sp>
      <cdr:nvSpPr>
        <cdr:cNvPr id="5" name="WordArt 9"/>
        <cdr:cNvSpPr>
          <a:spLocks/>
        </cdr:cNvSpPr>
      </cdr:nvSpPr>
      <cdr:spPr>
        <a:xfrm>
          <a:off x="21907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Schlamm-behandlung</a:t>
          </a:r>
        </a:p>
      </cdr:txBody>
    </cdr:sp>
  </cdr:relSizeAnchor>
  <cdr:relSizeAnchor xmlns:cdr="http://schemas.openxmlformats.org/drawingml/2006/chartDrawing">
    <cdr:from>
      <cdr:x>0.738</cdr:x>
      <cdr:y>0.18975</cdr:y>
    </cdr:from>
    <cdr:to>
      <cdr:x>0.81275</cdr:x>
      <cdr:y>0.2125</cdr:y>
    </cdr:to>
    <cdr:sp>
      <cdr:nvSpPr>
        <cdr:cNvPr id="6" name="WordArt 10"/>
        <cdr:cNvSpPr>
          <a:spLocks/>
        </cdr:cNvSpPr>
      </cdr:nvSpPr>
      <cdr:spPr>
        <a:xfrm>
          <a:off x="6800850" y="1085850"/>
          <a:ext cx="685800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Gesamt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83</xdr:row>
      <xdr:rowOff>47625</xdr:rowOff>
    </xdr:from>
    <xdr:to>
      <xdr:col>3</xdr:col>
      <xdr:colOff>361950</xdr:colOff>
      <xdr:row>105</xdr:row>
      <xdr:rowOff>76200</xdr:rowOff>
    </xdr:to>
    <xdr:graphicFrame>
      <xdr:nvGraphicFramePr>
        <xdr:cNvPr id="1" name="Diagramm 3"/>
        <xdr:cNvGraphicFramePr/>
      </xdr:nvGraphicFramePr>
      <xdr:xfrm>
        <a:off x="428625" y="14030325"/>
        <a:ext cx="6238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1114425</xdr:colOff>
      <xdr:row>83</xdr:row>
      <xdr:rowOff>76200</xdr:rowOff>
    </xdr:from>
    <xdr:to>
      <xdr:col>11</xdr:col>
      <xdr:colOff>171450</xdr:colOff>
      <xdr:row>105</xdr:row>
      <xdr:rowOff>114300</xdr:rowOff>
    </xdr:to>
    <xdr:graphicFrame>
      <xdr:nvGraphicFramePr>
        <xdr:cNvPr id="2" name="Chart 6"/>
        <xdr:cNvGraphicFramePr/>
      </xdr:nvGraphicFramePr>
      <xdr:xfrm>
        <a:off x="7419975" y="14058900"/>
        <a:ext cx="6248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830"/>
  <sheetViews>
    <sheetView tabSelected="1" view="pageBreakPreview" zoomScale="60" zoomScaleNormal="70" zoomScalePageLayoutView="0" workbookViewId="0" topLeftCell="A16">
      <selection activeCell="F19" sqref="F19"/>
    </sheetView>
  </sheetViews>
  <sheetFormatPr defaultColWidth="11.421875" defaultRowHeight="12.75"/>
  <cols>
    <col min="1" max="1" width="25.57421875" style="221" customWidth="1"/>
    <col min="2" max="2" width="68.00390625" style="206" customWidth="1"/>
    <col min="3" max="3" width="15.7109375" style="218" bestFit="1" customWidth="1"/>
    <col min="4" max="4" width="6.7109375" style="218" customWidth="1"/>
    <col min="5" max="6" width="20.00390625" style="219" customWidth="1"/>
    <col min="7" max="7" width="7.00390625" style="219" customWidth="1"/>
    <col min="8" max="8" width="21.140625" style="219" customWidth="1"/>
    <col min="9" max="9" width="15.8515625" style="219" customWidth="1"/>
    <col min="10" max="10" width="7.421875" style="219" customWidth="1"/>
    <col min="11" max="11" width="21.57421875" style="219" customWidth="1"/>
    <col min="12" max="12" width="15.7109375" style="219" customWidth="1"/>
    <col min="13" max="65" width="23.57421875" style="205" customWidth="1"/>
    <col min="66" max="84" width="11.421875" style="208" customWidth="1"/>
    <col min="85" max="151" width="11.421875" style="214" customWidth="1"/>
    <col min="152" max="16384" width="11.421875" style="206" customWidth="1"/>
  </cols>
  <sheetData>
    <row r="1" spans="1:65" s="220" customFormat="1" ht="54.75" customHeight="1">
      <c r="A1" s="553" t="s">
        <v>468</v>
      </c>
      <c r="B1" s="554"/>
      <c r="C1" s="555"/>
      <c r="D1" s="583" t="s">
        <v>285</v>
      </c>
      <c r="E1" s="587"/>
      <c r="F1" s="588"/>
      <c r="G1" s="583" t="s">
        <v>307</v>
      </c>
      <c r="H1" s="584"/>
      <c r="I1" s="591"/>
      <c r="J1" s="583" t="s">
        <v>308</v>
      </c>
      <c r="K1" s="584"/>
      <c r="L1" s="58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s="220" customFormat="1" ht="54.75" customHeight="1">
      <c r="A2" s="556"/>
      <c r="B2" s="557"/>
      <c r="C2" s="558"/>
      <c r="D2" s="537" t="s">
        <v>474</v>
      </c>
      <c r="E2" s="538"/>
      <c r="F2" s="539"/>
      <c r="G2" s="537" t="s">
        <v>475</v>
      </c>
      <c r="H2" s="538"/>
      <c r="I2" s="539"/>
      <c r="J2" s="537" t="s">
        <v>476</v>
      </c>
      <c r="K2" s="538"/>
      <c r="L2" s="586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s="220" customFormat="1" ht="135" customHeight="1">
      <c r="A3" s="559"/>
      <c r="B3" s="560"/>
      <c r="C3" s="561"/>
      <c r="D3" s="416" t="s">
        <v>347</v>
      </c>
      <c r="E3" s="417" t="s">
        <v>477</v>
      </c>
      <c r="F3" s="418" t="s">
        <v>473</v>
      </c>
      <c r="G3" s="416" t="s">
        <v>347</v>
      </c>
      <c r="H3" s="417" t="s">
        <v>477</v>
      </c>
      <c r="I3" s="418" t="s">
        <v>473</v>
      </c>
      <c r="J3" s="416" t="s">
        <v>347</v>
      </c>
      <c r="K3" s="419" t="s">
        <v>477</v>
      </c>
      <c r="L3" s="420" t="s">
        <v>473</v>
      </c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84" s="220" customFormat="1" ht="58.5" customHeight="1">
      <c r="A4" s="546" t="s">
        <v>286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8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</row>
    <row r="5" spans="1:65" s="220" customFormat="1" ht="39" customHeight="1">
      <c r="A5" s="562" t="s">
        <v>513</v>
      </c>
      <c r="B5" s="394" t="s">
        <v>288</v>
      </c>
      <c r="C5" s="395" t="s">
        <v>287</v>
      </c>
      <c r="D5" s="448" t="s">
        <v>348</v>
      </c>
      <c r="E5" s="438" t="s">
        <v>299</v>
      </c>
      <c r="F5" s="449">
        <v>4000</v>
      </c>
      <c r="G5" s="450" t="s">
        <v>391</v>
      </c>
      <c r="H5" s="438"/>
      <c r="I5" s="439">
        <f>F5</f>
        <v>4000</v>
      </c>
      <c r="J5" s="440" t="s">
        <v>407</v>
      </c>
      <c r="K5" s="438"/>
      <c r="L5" s="441">
        <f>I5</f>
        <v>4000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s="220" customFormat="1" ht="39" customHeight="1">
      <c r="A6" s="563"/>
      <c r="B6" s="451" t="s">
        <v>521</v>
      </c>
      <c r="C6" s="452" t="s">
        <v>287</v>
      </c>
      <c r="D6" s="403" t="s">
        <v>349</v>
      </c>
      <c r="E6" s="453" t="s">
        <v>514</v>
      </c>
      <c r="F6" s="454">
        <v>3100</v>
      </c>
      <c r="G6" s="455" t="s">
        <v>392</v>
      </c>
      <c r="H6" s="401"/>
      <c r="I6" s="456">
        <f>F6</f>
        <v>3100</v>
      </c>
      <c r="J6" s="457" t="s">
        <v>557</v>
      </c>
      <c r="K6" s="401"/>
      <c r="L6" s="458">
        <f>I6</f>
        <v>3100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220" customFormat="1" ht="24" customHeight="1">
      <c r="A7" s="367"/>
      <c r="B7" s="304" t="s">
        <v>300</v>
      </c>
      <c r="C7" s="305" t="s">
        <v>169</v>
      </c>
      <c r="D7" s="443"/>
      <c r="E7" s="442"/>
      <c r="F7" s="368"/>
      <c r="G7" s="531" t="s">
        <v>393</v>
      </c>
      <c r="H7" s="442" t="s">
        <v>301</v>
      </c>
      <c r="I7" s="369">
        <v>25</v>
      </c>
      <c r="J7" s="473" t="s">
        <v>408</v>
      </c>
      <c r="K7" s="442"/>
      <c r="L7" s="370">
        <f>I7</f>
        <v>25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20" customFormat="1" ht="24" customHeight="1">
      <c r="A8" s="549" t="s">
        <v>450</v>
      </c>
      <c r="B8" s="360" t="s">
        <v>291</v>
      </c>
      <c r="C8" s="361" t="s">
        <v>292</v>
      </c>
      <c r="D8" s="315" t="s">
        <v>350</v>
      </c>
      <c r="E8" s="210" t="s">
        <v>293</v>
      </c>
      <c r="F8" s="364">
        <v>25</v>
      </c>
      <c r="G8" s="445" t="s">
        <v>394</v>
      </c>
      <c r="H8" s="209"/>
      <c r="I8" s="365">
        <v>15</v>
      </c>
      <c r="J8" s="349" t="s">
        <v>409</v>
      </c>
      <c r="K8" s="209"/>
      <c r="L8" s="366">
        <v>15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220" customFormat="1" ht="24" customHeight="1">
      <c r="A9" s="550"/>
      <c r="B9" s="225" t="s">
        <v>322</v>
      </c>
      <c r="C9" s="228" t="s">
        <v>323</v>
      </c>
      <c r="D9" s="315" t="s">
        <v>351</v>
      </c>
      <c r="E9" s="210" t="s">
        <v>324</v>
      </c>
      <c r="F9" s="295">
        <v>3.5</v>
      </c>
      <c r="G9" s="339" t="s">
        <v>395</v>
      </c>
      <c r="H9" s="210" t="s">
        <v>324</v>
      </c>
      <c r="I9" s="312">
        <v>3.5</v>
      </c>
      <c r="J9" s="349" t="s">
        <v>410</v>
      </c>
      <c r="K9" s="209"/>
      <c r="L9" s="317">
        <f>I9</f>
        <v>3.5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220" customFormat="1" ht="24" customHeight="1">
      <c r="A10" s="551"/>
      <c r="B10" s="225" t="s">
        <v>302</v>
      </c>
      <c r="C10" s="228" t="s">
        <v>232</v>
      </c>
      <c r="D10" s="315" t="s">
        <v>352</v>
      </c>
      <c r="E10" s="210"/>
      <c r="F10" s="226">
        <v>0</v>
      </c>
      <c r="G10" s="446" t="s">
        <v>396</v>
      </c>
      <c r="H10" s="209"/>
      <c r="I10" s="227">
        <f>F10</f>
        <v>0</v>
      </c>
      <c r="J10" s="349" t="s">
        <v>411</v>
      </c>
      <c r="K10" s="209"/>
      <c r="L10" s="319">
        <f>I10</f>
        <v>0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s="220" customFormat="1" ht="24" customHeight="1">
      <c r="A11" s="552"/>
      <c r="B11" s="231" t="s">
        <v>303</v>
      </c>
      <c r="C11" s="232" t="s">
        <v>232</v>
      </c>
      <c r="D11" s="444" t="s">
        <v>353</v>
      </c>
      <c r="E11" s="404"/>
      <c r="F11" s="405">
        <v>0</v>
      </c>
      <c r="G11" s="447" t="s">
        <v>397</v>
      </c>
      <c r="H11" s="406"/>
      <c r="I11" s="407">
        <f>F11</f>
        <v>0</v>
      </c>
      <c r="J11" s="472" t="s">
        <v>412</v>
      </c>
      <c r="K11" s="406"/>
      <c r="L11" s="408">
        <f>I11</f>
        <v>0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s="220" customFormat="1" ht="24" customHeight="1">
      <c r="A12" s="318" t="s">
        <v>294</v>
      </c>
      <c r="B12" s="360" t="s">
        <v>294</v>
      </c>
      <c r="C12" s="361" t="s">
        <v>512</v>
      </c>
      <c r="D12" s="315" t="s">
        <v>354</v>
      </c>
      <c r="E12" s="229"/>
      <c r="F12" s="362">
        <v>0.14</v>
      </c>
      <c r="G12" s="398" t="s">
        <v>398</v>
      </c>
      <c r="H12" s="209"/>
      <c r="I12" s="399">
        <f>F12</f>
        <v>0.14</v>
      </c>
      <c r="J12" s="400" t="s">
        <v>413</v>
      </c>
      <c r="K12" s="401"/>
      <c r="L12" s="402">
        <f>I12</f>
        <v>0.14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4" s="220" customFormat="1" ht="40.5" customHeight="1">
      <c r="A13" s="320"/>
      <c r="B13" s="299"/>
      <c r="C13" s="299"/>
      <c r="D13" s="298"/>
      <c r="E13" s="298"/>
      <c r="F13" s="298"/>
      <c r="G13" s="298"/>
      <c r="H13" s="298"/>
      <c r="I13" s="298"/>
      <c r="J13" s="222"/>
      <c r="K13" s="205"/>
      <c r="L13" s="3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</row>
    <row r="14" spans="1:84" s="220" customFormat="1" ht="22.5" customHeight="1">
      <c r="A14" s="540" t="s">
        <v>295</v>
      </c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2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</row>
    <row r="15" spans="1:84" s="220" customFormat="1" ht="36" customHeight="1">
      <c r="A15" s="543"/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</row>
    <row r="16" spans="1:84" s="220" customFormat="1" ht="24" customHeight="1">
      <c r="A16" s="589" t="s">
        <v>451</v>
      </c>
      <c r="B16" s="279" t="s">
        <v>304</v>
      </c>
      <c r="C16" s="277" t="s">
        <v>232</v>
      </c>
      <c r="D16" s="301" t="s">
        <v>355</v>
      </c>
      <c r="E16" s="280"/>
      <c r="F16" s="281">
        <f>'Variante A'!B113</f>
        <v>1605.6752082402909</v>
      </c>
      <c r="G16" s="338" t="s">
        <v>399</v>
      </c>
      <c r="H16" s="273"/>
      <c r="I16" s="281">
        <f>'Variante F 1-2'!B123</f>
        <v>1044.316852374425</v>
      </c>
      <c r="J16" s="338" t="s">
        <v>414</v>
      </c>
      <c r="K16" s="273"/>
      <c r="L16" s="322">
        <f aca="true" t="shared" si="0" ref="L16:L21">I16</f>
        <v>1044.316852374425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84" s="220" customFormat="1" ht="24" customHeight="1">
      <c r="A17" s="590"/>
      <c r="B17" s="384" t="s">
        <v>305</v>
      </c>
      <c r="C17" s="371" t="s">
        <v>232</v>
      </c>
      <c r="D17" s="296" t="s">
        <v>356</v>
      </c>
      <c r="E17" s="211"/>
      <c r="F17" s="409">
        <f>IF(F16&gt;F10,F16-F10,0)</f>
        <v>1605.6752082402909</v>
      </c>
      <c r="G17" s="341" t="s">
        <v>400</v>
      </c>
      <c r="H17" s="212"/>
      <c r="I17" s="409">
        <f>IF(I16&gt;I10,I16-I10,0)</f>
        <v>1044.316852374425</v>
      </c>
      <c r="J17" s="341" t="s">
        <v>415</v>
      </c>
      <c r="K17" s="212"/>
      <c r="L17" s="375">
        <f t="shared" si="0"/>
        <v>1044.316852374425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s="220" customFormat="1" ht="24" customHeight="1">
      <c r="A18" s="532" t="s">
        <v>326</v>
      </c>
      <c r="B18" s="412" t="s">
        <v>525</v>
      </c>
      <c r="C18" s="413" t="s">
        <v>0</v>
      </c>
      <c r="D18" s="463" t="s">
        <v>357</v>
      </c>
      <c r="E18" s="385"/>
      <c r="F18" s="383">
        <f>'Variante A'!B43</f>
        <v>17.480166009407153</v>
      </c>
      <c r="G18" s="465" t="s">
        <v>401</v>
      </c>
      <c r="H18" s="387"/>
      <c r="I18" s="383">
        <f>'Variante F 1-2'!B43</f>
        <v>18.943319747104187</v>
      </c>
      <c r="J18" s="386" t="s">
        <v>416</v>
      </c>
      <c r="K18" s="387"/>
      <c r="L18" s="392">
        <f t="shared" si="0"/>
        <v>18.943319747104187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s="220" customFormat="1" ht="24" customHeight="1">
      <c r="A19" s="533"/>
      <c r="B19" s="358" t="s">
        <v>526</v>
      </c>
      <c r="C19" s="359" t="s">
        <v>0</v>
      </c>
      <c r="D19" s="316" t="s">
        <v>358</v>
      </c>
      <c r="E19" s="211"/>
      <c r="F19" s="362">
        <v>17.48</v>
      </c>
      <c r="G19" s="342" t="s">
        <v>402</v>
      </c>
      <c r="H19" s="212"/>
      <c r="I19" s="410">
        <f>I18/F18*F19</f>
        <v>18.94313984210334</v>
      </c>
      <c r="J19" s="342" t="s">
        <v>417</v>
      </c>
      <c r="K19" s="212"/>
      <c r="L19" s="411">
        <f t="shared" si="0"/>
        <v>18.94313984210334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</row>
    <row r="20" spans="1:84" s="220" customFormat="1" ht="24" customHeight="1">
      <c r="A20" s="533"/>
      <c r="B20" s="282" t="s">
        <v>527</v>
      </c>
      <c r="C20" s="278" t="s">
        <v>2</v>
      </c>
      <c r="D20" s="459" t="s">
        <v>359</v>
      </c>
      <c r="E20" s="211"/>
      <c r="F20" s="294">
        <f>'Variante A'!B44</f>
        <v>1.080443171949469</v>
      </c>
      <c r="G20" s="342" t="s">
        <v>403</v>
      </c>
      <c r="H20" s="212"/>
      <c r="I20" s="270">
        <f>'Variante F 1-2'!B44</f>
        <v>1.0742298614378274</v>
      </c>
      <c r="J20" s="342" t="s">
        <v>418</v>
      </c>
      <c r="K20" s="212"/>
      <c r="L20" s="393">
        <f t="shared" si="0"/>
        <v>1.0742298614378274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84" s="220" customFormat="1" ht="24" customHeight="1">
      <c r="A21" s="533"/>
      <c r="B21" s="282" t="s">
        <v>528</v>
      </c>
      <c r="C21" s="278" t="s">
        <v>2</v>
      </c>
      <c r="D21" s="316" t="s">
        <v>360</v>
      </c>
      <c r="E21" s="211"/>
      <c r="F21" s="230">
        <v>1.08</v>
      </c>
      <c r="G21" s="351" t="s">
        <v>404</v>
      </c>
      <c r="H21" s="212"/>
      <c r="I21" s="270">
        <f>F21*I20/F20</f>
        <v>1.073789238039734</v>
      </c>
      <c r="J21" s="342" t="s">
        <v>419</v>
      </c>
      <c r="K21" s="212"/>
      <c r="L21" s="378">
        <f t="shared" si="0"/>
        <v>1.073789238039734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</row>
    <row r="22" spans="1:84" s="220" customFormat="1" ht="25.5" customHeight="1">
      <c r="A22" s="533"/>
      <c r="B22" s="282" t="s">
        <v>325</v>
      </c>
      <c r="C22" s="278" t="s">
        <v>292</v>
      </c>
      <c r="D22" s="316" t="s">
        <v>361</v>
      </c>
      <c r="E22" s="211"/>
      <c r="F22" s="226">
        <v>90</v>
      </c>
      <c r="G22" s="343" t="s">
        <v>405</v>
      </c>
      <c r="H22" s="212" t="s">
        <v>498</v>
      </c>
      <c r="I22" s="226">
        <v>7</v>
      </c>
      <c r="J22" s="343" t="s">
        <v>420</v>
      </c>
      <c r="K22" s="212" t="s">
        <v>498</v>
      </c>
      <c r="L22" s="325">
        <v>7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</row>
    <row r="23" spans="1:84" s="220" customFormat="1" ht="24" customHeight="1">
      <c r="A23" s="533"/>
      <c r="B23" s="282" t="s">
        <v>310</v>
      </c>
      <c r="C23" s="278" t="s">
        <v>232</v>
      </c>
      <c r="D23" s="296" t="s">
        <v>362</v>
      </c>
      <c r="E23" s="211"/>
      <c r="F23" s="283">
        <f>'Variante A'!B43*F22/F26*'Variante A'!B44</f>
        <v>515.081618438377</v>
      </c>
      <c r="G23" s="464" t="s">
        <v>406</v>
      </c>
      <c r="H23" s="215"/>
      <c r="I23" s="283">
        <f>'Variante F 1-2'!B43*'Variante F 1-2'!B44/I26*I22</f>
        <v>21.914824343035285</v>
      </c>
      <c r="J23" s="490" t="s">
        <v>545</v>
      </c>
      <c r="K23" s="492"/>
      <c r="L23" s="514">
        <f>'Variante F 1-2'!B43*'Variante F 1-2'!B44/L26*L22</f>
        <v>43.16556309991798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</row>
    <row r="24" spans="1:84" s="220" customFormat="1" ht="24" customHeight="1">
      <c r="A24" s="534"/>
      <c r="B24" s="290" t="s">
        <v>311</v>
      </c>
      <c r="C24" s="275" t="s">
        <v>232</v>
      </c>
      <c r="D24" s="447" t="s">
        <v>470</v>
      </c>
      <c r="E24" s="389"/>
      <c r="F24" s="390">
        <f>IF(F23-F11&gt;0,F23-F11,0)</f>
        <v>515.081618438377</v>
      </c>
      <c r="G24" s="487" t="s">
        <v>363</v>
      </c>
      <c r="H24" s="489"/>
      <c r="I24" s="488">
        <f>IF(I23-I11&gt;0,I23-I11,0)</f>
        <v>21.914824343035285</v>
      </c>
      <c r="J24" s="491" t="s">
        <v>364</v>
      </c>
      <c r="K24" s="489"/>
      <c r="L24" s="515">
        <f>IF(L23-L11&gt;0,L23-L11,0)</f>
        <v>43.16556309991798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</row>
    <row r="25" spans="1:84" s="220" customFormat="1" ht="24" customHeight="1">
      <c r="A25" s="564" t="s">
        <v>480</v>
      </c>
      <c r="B25" s="358" t="s">
        <v>529</v>
      </c>
      <c r="C25" s="359" t="s">
        <v>335</v>
      </c>
      <c r="D25" s="461" t="s">
        <v>471</v>
      </c>
      <c r="E25" s="212"/>
      <c r="F25" s="512">
        <f>(F19*F21*365/F26)</f>
        <v>2088.065454545455</v>
      </c>
      <c r="G25" s="215" t="s">
        <v>365</v>
      </c>
      <c r="H25" s="215"/>
      <c r="I25" s="512">
        <f>(I19*I21*365/I26)</f>
        <v>1142.2219983774276</v>
      </c>
      <c r="J25" s="215" t="s">
        <v>421</v>
      </c>
      <c r="K25" s="215"/>
      <c r="L25" s="516">
        <f>(L19*L21*365/L26)</f>
        <v>2249.8312089252363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84" s="220" customFormat="1" ht="25.5" customHeight="1">
      <c r="A26" s="565"/>
      <c r="B26" s="282" t="s">
        <v>542</v>
      </c>
      <c r="C26" s="278" t="s">
        <v>2</v>
      </c>
      <c r="D26" s="462" t="s">
        <v>472</v>
      </c>
      <c r="E26" s="212" t="s">
        <v>469</v>
      </c>
      <c r="F26" s="303">
        <v>3.3</v>
      </c>
      <c r="G26" s="462" t="s">
        <v>366</v>
      </c>
      <c r="H26" s="212" t="s">
        <v>331</v>
      </c>
      <c r="I26" s="362">
        <v>6.5</v>
      </c>
      <c r="J26" s="462" t="s">
        <v>422</v>
      </c>
      <c r="K26" s="212"/>
      <c r="L26" s="378">
        <f>F26</f>
        <v>3.3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84" s="220" customFormat="1" ht="24" customHeight="1">
      <c r="A27" s="566"/>
      <c r="B27" s="290" t="s">
        <v>499</v>
      </c>
      <c r="C27" s="275" t="s">
        <v>239</v>
      </c>
      <c r="D27" s="460" t="s">
        <v>522</v>
      </c>
      <c r="E27" s="308" t="s">
        <v>336</v>
      </c>
      <c r="F27" s="493">
        <v>15.12</v>
      </c>
      <c r="G27" s="467" t="s">
        <v>367</v>
      </c>
      <c r="H27" s="466" t="s">
        <v>337</v>
      </c>
      <c r="I27" s="494">
        <v>33.5</v>
      </c>
      <c r="J27" s="467" t="s">
        <v>423</v>
      </c>
      <c r="K27" s="337" t="s">
        <v>338</v>
      </c>
      <c r="L27" s="495">
        <v>22.23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</row>
    <row r="28" spans="1:84" s="220" customFormat="1" ht="24" customHeight="1">
      <c r="A28" s="535" t="s">
        <v>481</v>
      </c>
      <c r="B28" s="279" t="s">
        <v>129</v>
      </c>
      <c r="C28" s="277" t="s">
        <v>457</v>
      </c>
      <c r="D28" s="310"/>
      <c r="E28" s="274"/>
      <c r="F28" s="273"/>
      <c r="G28" s="445" t="s">
        <v>368</v>
      </c>
      <c r="H28" s="274" t="s">
        <v>327</v>
      </c>
      <c r="I28" s="526">
        <v>9</v>
      </c>
      <c r="J28" s="341" t="s">
        <v>424</v>
      </c>
      <c r="K28" s="274"/>
      <c r="L28" s="527">
        <f aca="true" t="shared" si="1" ref="L28:L34">I28</f>
        <v>9</v>
      </c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</row>
    <row r="29" spans="1:84" s="220" customFormat="1" ht="24" customHeight="1">
      <c r="A29" s="536"/>
      <c r="B29" s="282" t="s">
        <v>132</v>
      </c>
      <c r="C29" s="278" t="s">
        <v>133</v>
      </c>
      <c r="D29" s="311"/>
      <c r="E29" s="309"/>
      <c r="F29" s="215"/>
      <c r="G29" s="340" t="s">
        <v>370</v>
      </c>
      <c r="H29" s="309" t="s">
        <v>331</v>
      </c>
      <c r="I29" s="295">
        <v>6</v>
      </c>
      <c r="J29" s="341" t="s">
        <v>369</v>
      </c>
      <c r="K29" s="212"/>
      <c r="L29" s="505">
        <f t="shared" si="1"/>
        <v>6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</row>
    <row r="30" spans="1:84" s="220" customFormat="1" ht="24" customHeight="1">
      <c r="A30" s="536"/>
      <c r="B30" s="282" t="s">
        <v>328</v>
      </c>
      <c r="C30" s="278" t="s">
        <v>2</v>
      </c>
      <c r="D30" s="311"/>
      <c r="E30" s="212"/>
      <c r="F30" s="215"/>
      <c r="G30" s="340" t="s">
        <v>371</v>
      </c>
      <c r="H30" s="212" t="s">
        <v>333</v>
      </c>
      <c r="I30" s="226">
        <v>36</v>
      </c>
      <c r="J30" s="341" t="s">
        <v>425</v>
      </c>
      <c r="K30" s="212"/>
      <c r="L30" s="323">
        <f t="shared" si="1"/>
        <v>36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84" s="220" customFormat="1" ht="24" customHeight="1">
      <c r="A31" s="536"/>
      <c r="B31" s="282" t="s">
        <v>329</v>
      </c>
      <c r="C31" s="278" t="s">
        <v>2</v>
      </c>
      <c r="D31" s="311"/>
      <c r="E31" s="212"/>
      <c r="F31" s="215"/>
      <c r="G31" s="340" t="s">
        <v>372</v>
      </c>
      <c r="H31" s="212" t="s">
        <v>332</v>
      </c>
      <c r="I31" s="226">
        <v>55</v>
      </c>
      <c r="J31" s="341" t="s">
        <v>426</v>
      </c>
      <c r="K31" s="212"/>
      <c r="L31" s="323">
        <f t="shared" si="1"/>
        <v>55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</row>
    <row r="32" spans="1:84" s="220" customFormat="1" ht="24" customHeight="1">
      <c r="A32" s="536"/>
      <c r="B32" s="282" t="s">
        <v>330</v>
      </c>
      <c r="C32" s="278" t="s">
        <v>2</v>
      </c>
      <c r="D32" s="311"/>
      <c r="E32" s="212"/>
      <c r="F32" s="215"/>
      <c r="G32" s="340" t="s">
        <v>373</v>
      </c>
      <c r="H32" s="212" t="s">
        <v>301</v>
      </c>
      <c r="I32" s="226">
        <v>60</v>
      </c>
      <c r="J32" s="347" t="s">
        <v>427</v>
      </c>
      <c r="K32" s="212"/>
      <c r="L32" s="323">
        <f t="shared" si="1"/>
        <v>60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4" s="220" customFormat="1" ht="24" customHeight="1">
      <c r="A33" s="533"/>
      <c r="B33" s="268" t="s">
        <v>510</v>
      </c>
      <c r="C33" s="278" t="s">
        <v>512</v>
      </c>
      <c r="D33" s="311"/>
      <c r="E33" s="212"/>
      <c r="F33" s="215"/>
      <c r="G33" s="373" t="s">
        <v>374</v>
      </c>
      <c r="H33" s="212" t="s">
        <v>549</v>
      </c>
      <c r="I33" s="230">
        <v>0.14</v>
      </c>
      <c r="J33" s="374" t="s">
        <v>428</v>
      </c>
      <c r="K33" s="212"/>
      <c r="L33" s="517">
        <f t="shared" si="1"/>
        <v>0.14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s="220" customFormat="1" ht="24" customHeight="1">
      <c r="A34" s="534"/>
      <c r="B34" s="268" t="s">
        <v>511</v>
      </c>
      <c r="C34" s="371" t="s">
        <v>512</v>
      </c>
      <c r="D34" s="372"/>
      <c r="E34" s="212"/>
      <c r="F34" s="215"/>
      <c r="G34" s="471" t="s">
        <v>375</v>
      </c>
      <c r="H34" s="212" t="s">
        <v>550</v>
      </c>
      <c r="I34" s="437">
        <v>0.047</v>
      </c>
      <c r="J34" s="476" t="s">
        <v>429</v>
      </c>
      <c r="K34" s="212"/>
      <c r="L34" s="513">
        <f t="shared" si="1"/>
        <v>0.047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s="220" customFormat="1" ht="24" customHeight="1">
      <c r="A35" s="567" t="s">
        <v>479</v>
      </c>
      <c r="B35" s="379" t="s">
        <v>341</v>
      </c>
      <c r="C35" s="380" t="s">
        <v>30</v>
      </c>
      <c r="D35" s="381" t="s">
        <v>387</v>
      </c>
      <c r="E35" s="382"/>
      <c r="F35" s="496">
        <f>'Variante A'!B80</f>
        <v>17.603034467836306</v>
      </c>
      <c r="G35" s="377" t="s">
        <v>376</v>
      </c>
      <c r="H35" s="382"/>
      <c r="I35" s="500">
        <f>'Variante F 1-2'!B83</f>
        <v>16.55883451992439</v>
      </c>
      <c r="J35" s="377" t="s">
        <v>430</v>
      </c>
      <c r="K35" s="382"/>
      <c r="L35" s="503">
        <f>I35</f>
        <v>16.55883451992439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s="220" customFormat="1" ht="24" customHeight="1">
      <c r="A36" s="568"/>
      <c r="B36" s="268" t="s">
        <v>339</v>
      </c>
      <c r="C36" s="296" t="s">
        <v>30</v>
      </c>
      <c r="D36" s="363" t="s">
        <v>463</v>
      </c>
      <c r="E36" s="376" t="s">
        <v>458</v>
      </c>
      <c r="F36" s="497">
        <v>17.6</v>
      </c>
      <c r="G36" s="344" t="s">
        <v>377</v>
      </c>
      <c r="H36" s="376" t="s">
        <v>459</v>
      </c>
      <c r="I36" s="501">
        <v>16.56</v>
      </c>
      <c r="J36" s="348" t="s">
        <v>466</v>
      </c>
      <c r="K36" s="376"/>
      <c r="L36" s="504">
        <f>I36</f>
        <v>16.56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s="220" customFormat="1" ht="24" customHeight="1">
      <c r="A37" s="568"/>
      <c r="B37" s="268" t="s">
        <v>340</v>
      </c>
      <c r="C37" s="296" t="s">
        <v>30</v>
      </c>
      <c r="D37" s="344" t="s">
        <v>515</v>
      </c>
      <c r="E37" s="306" t="s">
        <v>343</v>
      </c>
      <c r="F37" s="498">
        <v>3.5</v>
      </c>
      <c r="G37" s="344" t="s">
        <v>378</v>
      </c>
      <c r="H37" s="306" t="s">
        <v>343</v>
      </c>
      <c r="I37" s="295">
        <v>2.5</v>
      </c>
      <c r="J37" s="348" t="s">
        <v>467</v>
      </c>
      <c r="K37" s="306"/>
      <c r="L37" s="505">
        <f>I37</f>
        <v>2.5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</row>
    <row r="38" spans="1:84" s="220" customFormat="1" ht="24" customHeight="1">
      <c r="A38" s="568"/>
      <c r="B38" s="268" t="s">
        <v>342</v>
      </c>
      <c r="C38" s="296" t="s">
        <v>30</v>
      </c>
      <c r="D38" s="345"/>
      <c r="E38" s="306"/>
      <c r="F38" s="499"/>
      <c r="G38" s="348" t="s">
        <v>379</v>
      </c>
      <c r="H38" s="306"/>
      <c r="I38" s="502">
        <f>'Variante F 1-2'!B86</f>
        <v>0.957992643800423</v>
      </c>
      <c r="J38" s="348" t="s">
        <v>431</v>
      </c>
      <c r="K38" s="306"/>
      <c r="L38" s="505">
        <v>0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220" customFormat="1" ht="24" customHeight="1">
      <c r="A39" s="551"/>
      <c r="B39" s="268" t="s">
        <v>269</v>
      </c>
      <c r="C39" s="296" t="s">
        <v>30</v>
      </c>
      <c r="D39" s="344"/>
      <c r="E39" s="307"/>
      <c r="F39" s="499"/>
      <c r="G39" s="344" t="s">
        <v>380</v>
      </c>
      <c r="H39" s="306" t="s">
        <v>346</v>
      </c>
      <c r="I39" s="295">
        <v>0.96</v>
      </c>
      <c r="J39" s="348" t="s">
        <v>432</v>
      </c>
      <c r="K39" s="307"/>
      <c r="L39" s="5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</row>
    <row r="40" spans="1:84" s="220" customFormat="1" ht="24" customHeight="1">
      <c r="A40" s="551"/>
      <c r="B40" s="268" t="s">
        <v>271</v>
      </c>
      <c r="C40" s="296" t="s">
        <v>30</v>
      </c>
      <c r="D40" s="344"/>
      <c r="E40" s="306"/>
      <c r="F40" s="499"/>
      <c r="G40" s="470" t="s">
        <v>381</v>
      </c>
      <c r="H40" s="306" t="s">
        <v>344</v>
      </c>
      <c r="I40" s="295">
        <v>1.2</v>
      </c>
      <c r="J40" s="474" t="s">
        <v>433</v>
      </c>
      <c r="K40" s="306"/>
      <c r="L40" s="505">
        <f>I40</f>
        <v>1.2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</row>
    <row r="41" spans="1:84" s="220" customFormat="1" ht="24" customHeight="1">
      <c r="A41" s="552"/>
      <c r="B41" s="268" t="s">
        <v>272</v>
      </c>
      <c r="C41" s="296" t="s">
        <v>30</v>
      </c>
      <c r="D41" s="346" t="s">
        <v>388</v>
      </c>
      <c r="E41" s="308" t="s">
        <v>345</v>
      </c>
      <c r="F41" s="493">
        <v>2.26</v>
      </c>
      <c r="G41" s="471" t="s">
        <v>382</v>
      </c>
      <c r="H41" s="469" t="s">
        <v>345</v>
      </c>
      <c r="I41" s="494">
        <v>0.95</v>
      </c>
      <c r="J41" s="475" t="s">
        <v>434</v>
      </c>
      <c r="K41" s="469"/>
      <c r="L41" s="506">
        <f>I41</f>
        <v>0.95</v>
      </c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</row>
    <row r="42" spans="1:84" s="220" customFormat="1" ht="33.75" customHeight="1">
      <c r="A42" s="320"/>
      <c r="B42" s="299"/>
      <c r="C42" s="299"/>
      <c r="D42" s="299"/>
      <c r="E42" s="299"/>
      <c r="F42" s="299"/>
      <c r="G42" s="299"/>
      <c r="H42" s="299"/>
      <c r="I42" s="299"/>
      <c r="J42" s="222"/>
      <c r="K42" s="222"/>
      <c r="L42" s="32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</row>
    <row r="43" spans="1:84" s="220" customFormat="1" ht="57.75" customHeight="1">
      <c r="A43" s="546" t="s">
        <v>334</v>
      </c>
      <c r="B43" s="547"/>
      <c r="C43" s="547"/>
      <c r="D43" s="547"/>
      <c r="E43" s="547"/>
      <c r="F43" s="547"/>
      <c r="G43" s="547"/>
      <c r="H43" s="547"/>
      <c r="I43" s="547"/>
      <c r="J43" s="547"/>
      <c r="K43" s="547"/>
      <c r="L43" s="548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</row>
    <row r="44" spans="1:84" s="220" customFormat="1" ht="24" customHeight="1">
      <c r="A44" s="597" t="s">
        <v>482</v>
      </c>
      <c r="B44" s="394" t="s">
        <v>309</v>
      </c>
      <c r="C44" s="395" t="s">
        <v>239</v>
      </c>
      <c r="D44" s="386" t="s">
        <v>389</v>
      </c>
      <c r="E44" s="396" t="s">
        <v>531</v>
      </c>
      <c r="F44" s="507">
        <f>IF(F17=0,0,'IK Becken Variante 1'!C10/F17)</f>
        <v>589.3557705636148</v>
      </c>
      <c r="G44" s="510"/>
      <c r="H44" s="511"/>
      <c r="I44" s="509">
        <f>IF(I17=0,0,'IK Becken Variante 2&amp;3 '!C11)</f>
        <v>637.2785011415845</v>
      </c>
      <c r="J44" s="381" t="s">
        <v>435</v>
      </c>
      <c r="K44" s="397"/>
      <c r="L44" s="508">
        <f>I44</f>
        <v>637.2785011415845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</row>
    <row r="45" spans="1:84" s="220" customFormat="1" ht="24" customHeight="1">
      <c r="A45" s="549"/>
      <c r="B45" s="225" t="s">
        <v>523</v>
      </c>
      <c r="C45" s="228" t="s">
        <v>237</v>
      </c>
      <c r="D45" s="352" t="s">
        <v>534</v>
      </c>
      <c r="E45" s="229"/>
      <c r="F45" s="523">
        <f>F44*F17</f>
        <v>946313.9496273493</v>
      </c>
      <c r="G45" s="352" t="s">
        <v>536</v>
      </c>
      <c r="H45" s="209"/>
      <c r="I45" s="524">
        <f>I17*I44</f>
        <v>665520.6783980709</v>
      </c>
      <c r="J45" s="354" t="s">
        <v>538</v>
      </c>
      <c r="K45" s="209"/>
      <c r="L45" s="525">
        <f>L44*L17</f>
        <v>665520.6783980709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</row>
    <row r="46" spans="1:84" s="220" customFormat="1" ht="24" customHeight="1">
      <c r="A46" s="549"/>
      <c r="B46" s="225" t="s">
        <v>551</v>
      </c>
      <c r="C46" s="228" t="s">
        <v>237</v>
      </c>
      <c r="D46" s="353" t="s">
        <v>390</v>
      </c>
      <c r="E46" s="229"/>
      <c r="F46" s="233">
        <v>950000</v>
      </c>
      <c r="G46" s="353" t="s">
        <v>383</v>
      </c>
      <c r="H46" s="209"/>
      <c r="I46" s="233">
        <v>670000</v>
      </c>
      <c r="J46" s="353" t="s">
        <v>383</v>
      </c>
      <c r="K46" s="209"/>
      <c r="L46" s="486">
        <v>670000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</row>
    <row r="47" spans="1:84" s="220" customFormat="1" ht="24" customHeight="1">
      <c r="A47" s="549"/>
      <c r="B47" s="225" t="s">
        <v>552</v>
      </c>
      <c r="C47" s="228" t="s">
        <v>237</v>
      </c>
      <c r="D47" s="353" t="s">
        <v>464</v>
      </c>
      <c r="E47" s="229"/>
      <c r="F47" s="233">
        <v>170000</v>
      </c>
      <c r="G47" s="353" t="s">
        <v>384</v>
      </c>
      <c r="H47" s="209"/>
      <c r="I47" s="233">
        <v>140000</v>
      </c>
      <c r="J47" s="353" t="s">
        <v>384</v>
      </c>
      <c r="K47" s="209"/>
      <c r="L47" s="486">
        <v>140000</v>
      </c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</row>
    <row r="48" spans="1:84" s="220" customFormat="1" ht="24" customHeight="1">
      <c r="A48" s="551"/>
      <c r="B48" s="225" t="s">
        <v>312</v>
      </c>
      <c r="C48" s="228" t="s">
        <v>237</v>
      </c>
      <c r="D48" s="351" t="s">
        <v>516</v>
      </c>
      <c r="E48" s="229"/>
      <c r="F48" s="300">
        <f>'IK Becken Variante 1'!C41/183*F22</f>
        <v>70797.06048615037</v>
      </c>
      <c r="G48" s="351" t="s">
        <v>385</v>
      </c>
      <c r="H48" s="209"/>
      <c r="I48" s="300">
        <f>'IK Becken Variante 2&amp;3 '!C45</f>
        <v>11556.897625502565</v>
      </c>
      <c r="J48" s="351" t="s">
        <v>385</v>
      </c>
      <c r="K48" s="209"/>
      <c r="L48" s="327">
        <f>'IK Becken Variante 2&amp;3 '!C46</f>
        <v>19333.917605550436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</row>
    <row r="49" spans="1:84" s="220" customFormat="1" ht="24" customHeight="1">
      <c r="A49" s="551"/>
      <c r="B49" s="225" t="s">
        <v>524</v>
      </c>
      <c r="C49" s="228" t="s">
        <v>237</v>
      </c>
      <c r="D49" s="350" t="s">
        <v>535</v>
      </c>
      <c r="E49" s="229"/>
      <c r="F49" s="226">
        <v>71000</v>
      </c>
      <c r="G49" s="350" t="s">
        <v>386</v>
      </c>
      <c r="H49" s="209"/>
      <c r="I49" s="226">
        <v>12000</v>
      </c>
      <c r="J49" s="350" t="s">
        <v>386</v>
      </c>
      <c r="K49" s="209"/>
      <c r="L49" s="325">
        <v>20000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</row>
    <row r="50" spans="1:84" s="220" customFormat="1" ht="24" customHeight="1">
      <c r="A50" s="551"/>
      <c r="B50" s="225" t="s">
        <v>306</v>
      </c>
      <c r="C50" s="228" t="s">
        <v>237</v>
      </c>
      <c r="D50" s="353"/>
      <c r="E50" s="209"/>
      <c r="F50" s="227"/>
      <c r="G50" s="353" t="s">
        <v>460</v>
      </c>
      <c r="H50" s="209" t="s">
        <v>436</v>
      </c>
      <c r="I50" s="233">
        <v>85000</v>
      </c>
      <c r="J50" s="353"/>
      <c r="K50" s="209"/>
      <c r="L50" s="319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</row>
    <row r="51" spans="1:84" s="220" customFormat="1" ht="24" customHeight="1">
      <c r="A51" s="551"/>
      <c r="B51" s="225" t="s">
        <v>487</v>
      </c>
      <c r="C51" s="228" t="s">
        <v>237</v>
      </c>
      <c r="D51" s="353" t="s">
        <v>437</v>
      </c>
      <c r="E51" s="209"/>
      <c r="F51" s="233">
        <v>0</v>
      </c>
      <c r="G51" s="353" t="s">
        <v>517</v>
      </c>
      <c r="H51" s="210"/>
      <c r="I51" s="226">
        <v>0</v>
      </c>
      <c r="J51" s="353" t="s">
        <v>517</v>
      </c>
      <c r="K51" s="210"/>
      <c r="L51" s="3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</row>
    <row r="52" spans="1:84" s="220" customFormat="1" ht="24" customHeight="1">
      <c r="A52" s="551"/>
      <c r="B52" s="225" t="s">
        <v>488</v>
      </c>
      <c r="C52" s="228" t="s">
        <v>237</v>
      </c>
      <c r="D52" s="353" t="s">
        <v>438</v>
      </c>
      <c r="E52" s="209"/>
      <c r="F52" s="233">
        <v>0</v>
      </c>
      <c r="G52" s="353" t="s">
        <v>537</v>
      </c>
      <c r="H52" s="210"/>
      <c r="I52" s="226">
        <v>0</v>
      </c>
      <c r="J52" s="353" t="s">
        <v>537</v>
      </c>
      <c r="K52" s="210"/>
      <c r="L52" s="325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</row>
    <row r="53" spans="1:84" s="220" customFormat="1" ht="24" customHeight="1">
      <c r="A53" s="552"/>
      <c r="B53" s="231" t="s">
        <v>296</v>
      </c>
      <c r="C53" s="232" t="s">
        <v>2</v>
      </c>
      <c r="D53" s="353" t="s">
        <v>439</v>
      </c>
      <c r="E53" s="276" t="s">
        <v>297</v>
      </c>
      <c r="F53" s="234">
        <v>3</v>
      </c>
      <c r="G53" s="352" t="s">
        <v>440</v>
      </c>
      <c r="H53" s="235"/>
      <c r="I53" s="313">
        <f>F53</f>
        <v>3</v>
      </c>
      <c r="J53" s="485" t="s">
        <v>440</v>
      </c>
      <c r="K53" s="484"/>
      <c r="L53" s="328">
        <f>I53</f>
        <v>3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</row>
    <row r="54" spans="1:84" s="220" customFormat="1" ht="33.75" customHeight="1">
      <c r="A54" s="329"/>
      <c r="B54" s="298"/>
      <c r="C54" s="298"/>
      <c r="D54" s="298"/>
      <c r="E54" s="298"/>
      <c r="F54" s="298"/>
      <c r="G54" s="298"/>
      <c r="H54" s="298"/>
      <c r="I54" s="298"/>
      <c r="J54" s="222"/>
      <c r="K54" s="330"/>
      <c r="L54" s="331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</row>
    <row r="55" spans="1:84" s="220" customFormat="1" ht="22.5" customHeight="1">
      <c r="A55" s="569" t="s">
        <v>483</v>
      </c>
      <c r="B55" s="570"/>
      <c r="C55" s="570"/>
      <c r="D55" s="570"/>
      <c r="E55" s="570"/>
      <c r="F55" s="570"/>
      <c r="G55" s="570"/>
      <c r="H55" s="570"/>
      <c r="I55" s="570"/>
      <c r="J55" s="570"/>
      <c r="K55" s="570"/>
      <c r="L55" s="571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</row>
    <row r="56" spans="1:84" s="205" customFormat="1" ht="52.5" customHeight="1">
      <c r="A56" s="572"/>
      <c r="B56" s="573"/>
      <c r="C56" s="573"/>
      <c r="D56" s="573"/>
      <c r="E56" s="573"/>
      <c r="F56" s="573"/>
      <c r="G56" s="573"/>
      <c r="H56" s="573"/>
      <c r="I56" s="573"/>
      <c r="J56" s="573"/>
      <c r="K56" s="573"/>
      <c r="L56" s="57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</row>
    <row r="57" spans="1:84" s="205" customFormat="1" ht="24" customHeight="1">
      <c r="A57" s="575" t="s">
        <v>452</v>
      </c>
      <c r="B57" s="279" t="s">
        <v>121</v>
      </c>
      <c r="C57" s="277" t="s">
        <v>146</v>
      </c>
      <c r="D57" s="296" t="s">
        <v>441</v>
      </c>
      <c r="E57" s="272"/>
      <c r="F57" s="281">
        <f>Stromkosten!B27</f>
        <v>10138.240000000002</v>
      </c>
      <c r="G57" s="341" t="s">
        <v>444</v>
      </c>
      <c r="H57" s="274"/>
      <c r="I57" s="281">
        <f>Stromkosten!F27</f>
        <v>9621.78</v>
      </c>
      <c r="J57" s="341" t="s">
        <v>447</v>
      </c>
      <c r="K57" s="274"/>
      <c r="L57" s="322">
        <f>Stromkosten!K27</f>
        <v>9205.14</v>
      </c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</row>
    <row r="58" spans="1:84" s="205" customFormat="1" ht="24" customHeight="1">
      <c r="A58" s="595"/>
      <c r="B58" s="415" t="s">
        <v>159</v>
      </c>
      <c r="C58" s="278" t="s">
        <v>146</v>
      </c>
      <c r="D58" s="422" t="s">
        <v>442</v>
      </c>
      <c r="E58" s="271"/>
      <c r="F58" s="414">
        <f>F25*F27</f>
        <v>31571.549672727277</v>
      </c>
      <c r="G58" s="424" t="s">
        <v>445</v>
      </c>
      <c r="H58" s="215"/>
      <c r="I58" s="414">
        <f>I25*I27</f>
        <v>38264.43694564382</v>
      </c>
      <c r="J58" s="424" t="s">
        <v>448</v>
      </c>
      <c r="K58" s="215"/>
      <c r="L58" s="323">
        <f>L25*L27</f>
        <v>50013.747774408</v>
      </c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</row>
    <row r="59" spans="1:84" s="205" customFormat="1" ht="24" customHeight="1">
      <c r="A59" s="596"/>
      <c r="B59" s="290" t="s">
        <v>160</v>
      </c>
      <c r="C59" s="275" t="s">
        <v>146</v>
      </c>
      <c r="D59" s="479" t="s">
        <v>501</v>
      </c>
      <c r="E59" s="477"/>
      <c r="F59" s="390">
        <v>0</v>
      </c>
      <c r="G59" s="447" t="s">
        <v>504</v>
      </c>
      <c r="H59" s="481"/>
      <c r="I59" s="390">
        <f>'ele. und th. Erlös'!F14</f>
        <v>-4027.16691</v>
      </c>
      <c r="J59" s="447" t="s">
        <v>507</v>
      </c>
      <c r="K59" s="481"/>
      <c r="L59" s="332">
        <f>'ele. und th. Erlös'!J14</f>
        <v>-4027.16691</v>
      </c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</row>
    <row r="60" spans="1:84" s="205" customFormat="1" ht="24" customHeight="1">
      <c r="A60" s="575" t="s">
        <v>484</v>
      </c>
      <c r="B60" s="421" t="s">
        <v>530</v>
      </c>
      <c r="C60" s="277" t="s">
        <v>237</v>
      </c>
      <c r="D60" s="480" t="s">
        <v>502</v>
      </c>
      <c r="E60" s="478"/>
      <c r="F60" s="281">
        <f>F46+F49+F51+F52</f>
        <v>1021000</v>
      </c>
      <c r="G60" s="483" t="s">
        <v>505</v>
      </c>
      <c r="H60" s="482"/>
      <c r="I60" s="281">
        <f>I49+I46+I50+I51+I52</f>
        <v>767000</v>
      </c>
      <c r="J60" s="483" t="s">
        <v>508</v>
      </c>
      <c r="K60" s="482"/>
      <c r="L60" s="322">
        <f>L49+L46+L50+L51+L52</f>
        <v>690000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</row>
    <row r="61" spans="1:84" s="205" customFormat="1" ht="24" customHeight="1">
      <c r="A61" s="576"/>
      <c r="B61" s="225" t="s">
        <v>500</v>
      </c>
      <c r="C61" s="371" t="s">
        <v>237</v>
      </c>
      <c r="D61" s="388" t="s">
        <v>443</v>
      </c>
      <c r="E61" s="423"/>
      <c r="F61" s="409">
        <f>F51+F47</f>
        <v>170000</v>
      </c>
      <c r="G61" s="391" t="s">
        <v>446</v>
      </c>
      <c r="H61" s="425"/>
      <c r="I61" s="409">
        <f>I50+I47+I51</f>
        <v>225000</v>
      </c>
      <c r="J61" s="391" t="s">
        <v>449</v>
      </c>
      <c r="K61" s="425"/>
      <c r="L61" s="375">
        <f>L51+L47</f>
        <v>140000</v>
      </c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</row>
    <row r="62" spans="1:84" s="205" customFormat="1" ht="24" customHeight="1">
      <c r="A62" s="434" t="s">
        <v>485</v>
      </c>
      <c r="B62" s="428" t="s">
        <v>486</v>
      </c>
      <c r="C62" s="435" t="s">
        <v>237</v>
      </c>
      <c r="D62" s="429" t="s">
        <v>503</v>
      </c>
      <c r="E62" s="430"/>
      <c r="F62" s="436">
        <f>Projektkostenbarwertberechnung!B58</f>
        <v>1864796.8814591644</v>
      </c>
      <c r="G62" s="432" t="s">
        <v>506</v>
      </c>
      <c r="H62" s="431"/>
      <c r="I62" s="436">
        <f>Projektkostenbarwertberechnung!D58</f>
        <v>1686236.3781407594</v>
      </c>
      <c r="J62" s="432" t="s">
        <v>509</v>
      </c>
      <c r="K62" s="431"/>
      <c r="L62" s="433">
        <f>Projektkostenbarwertberechnung!F58</f>
        <v>1747824.7721607564</v>
      </c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</row>
    <row r="63" spans="1:84" s="205" customFormat="1" ht="36" customHeight="1">
      <c r="A63" s="426"/>
      <c r="B63" s="284"/>
      <c r="C63" s="285"/>
      <c r="D63" s="285"/>
      <c r="E63" s="286"/>
      <c r="F63" s="287"/>
      <c r="G63" s="287"/>
      <c r="H63" s="287"/>
      <c r="I63" s="288"/>
      <c r="J63" s="288"/>
      <c r="K63" s="287"/>
      <c r="L63" s="427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</row>
    <row r="64" spans="1:84" s="220" customFormat="1" ht="22.5" customHeight="1">
      <c r="A64" s="569" t="s">
        <v>313</v>
      </c>
      <c r="B64" s="570"/>
      <c r="C64" s="570"/>
      <c r="D64" s="570"/>
      <c r="E64" s="570"/>
      <c r="F64" s="570"/>
      <c r="G64" s="570"/>
      <c r="H64" s="570"/>
      <c r="I64" s="570"/>
      <c r="J64" s="570"/>
      <c r="K64" s="570"/>
      <c r="L64" s="57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</row>
    <row r="65" spans="1:84" s="205" customFormat="1" ht="56.25" customHeight="1">
      <c r="A65" s="572"/>
      <c r="B65" s="573"/>
      <c r="C65" s="573"/>
      <c r="D65" s="573"/>
      <c r="E65" s="573"/>
      <c r="F65" s="573"/>
      <c r="G65" s="573"/>
      <c r="H65" s="573"/>
      <c r="I65" s="573"/>
      <c r="J65" s="573"/>
      <c r="K65" s="573"/>
      <c r="L65" s="57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</row>
    <row r="66" spans="1:84" s="205" customFormat="1" ht="24" customHeight="1">
      <c r="A66" s="592" t="s">
        <v>453</v>
      </c>
      <c r="B66" s="279" t="s">
        <v>314</v>
      </c>
      <c r="C66" s="277" t="s">
        <v>317</v>
      </c>
      <c r="D66" s="296" t="s">
        <v>462</v>
      </c>
      <c r="E66" s="272"/>
      <c r="F66" s="270">
        <f>'CO2-Bilanz'!B54</f>
        <v>10.1208893</v>
      </c>
      <c r="G66" s="355" t="s">
        <v>461</v>
      </c>
      <c r="H66" s="274"/>
      <c r="I66" s="270">
        <f>'CO2-Bilanz'!E54</f>
        <v>9.142376779999998</v>
      </c>
      <c r="J66" s="342" t="s">
        <v>465</v>
      </c>
      <c r="K66" s="274"/>
      <c r="L66" s="324">
        <f>'CO2-Bilanz'!H54</f>
        <v>9.142376779999998</v>
      </c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</row>
    <row r="67" spans="1:84" s="205" customFormat="1" ht="24" customHeight="1">
      <c r="A67" s="593"/>
      <c r="B67" s="282" t="s">
        <v>108</v>
      </c>
      <c r="C67" s="278" t="s">
        <v>317</v>
      </c>
      <c r="D67" s="296" t="s">
        <v>495</v>
      </c>
      <c r="E67" s="271"/>
      <c r="F67" s="270">
        <f>'CO2-Bilanz'!B55</f>
        <v>1.08403838</v>
      </c>
      <c r="G67" s="355" t="s">
        <v>494</v>
      </c>
      <c r="H67" s="215"/>
      <c r="I67" s="270">
        <f>'CO2-Bilanz'!E55</f>
        <v>1.4917519300000002</v>
      </c>
      <c r="J67" s="342" t="s">
        <v>489</v>
      </c>
      <c r="K67" s="215"/>
      <c r="L67" s="324">
        <f>'CO2-Bilanz'!H55</f>
        <v>1.2375305399999998</v>
      </c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</row>
    <row r="68" spans="1:84" s="205" customFormat="1" ht="24" customHeight="1">
      <c r="A68" s="593"/>
      <c r="B68" s="282" t="s">
        <v>315</v>
      </c>
      <c r="C68" s="278" t="s">
        <v>317</v>
      </c>
      <c r="D68" s="296" t="s">
        <v>496</v>
      </c>
      <c r="E68" s="269"/>
      <c r="F68" s="270">
        <v>0</v>
      </c>
      <c r="G68" s="355" t="s">
        <v>493</v>
      </c>
      <c r="H68" s="215"/>
      <c r="I68" s="270">
        <f>'CO2-Bilanz'!E56</f>
        <v>3.0958154852574418</v>
      </c>
      <c r="J68" s="342" t="s">
        <v>490</v>
      </c>
      <c r="K68" s="215"/>
      <c r="L68" s="324">
        <f>'CO2-Bilanz'!H56</f>
        <v>6.097818380052536</v>
      </c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</row>
    <row r="69" spans="1:84" s="205" customFormat="1" ht="24" customHeight="1">
      <c r="A69" s="593"/>
      <c r="B69" s="282" t="s">
        <v>543</v>
      </c>
      <c r="C69" s="278" t="s">
        <v>317</v>
      </c>
      <c r="D69" s="422" t="s">
        <v>497</v>
      </c>
      <c r="E69" s="269"/>
      <c r="F69" s="270">
        <v>0</v>
      </c>
      <c r="G69" s="355" t="s">
        <v>492</v>
      </c>
      <c r="H69" s="215"/>
      <c r="I69" s="270">
        <f>'CO2-Bilanz'!E57</f>
        <v>-3.403496782799999</v>
      </c>
      <c r="J69" s="342" t="s">
        <v>491</v>
      </c>
      <c r="K69" s="215"/>
      <c r="L69" s="324">
        <f>'CO2-Bilanz'!H57</f>
        <v>-3.403496782799999</v>
      </c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</row>
    <row r="70" spans="1:84" s="205" customFormat="1" ht="24" customHeight="1">
      <c r="A70" s="594"/>
      <c r="B70" s="290" t="s">
        <v>544</v>
      </c>
      <c r="C70" s="275" t="s">
        <v>317</v>
      </c>
      <c r="D70" s="479" t="s">
        <v>518</v>
      </c>
      <c r="E70" s="477"/>
      <c r="F70" s="270">
        <v>0</v>
      </c>
      <c r="G70" s="475" t="s">
        <v>519</v>
      </c>
      <c r="H70" s="215"/>
      <c r="I70" s="270">
        <f>'CO2-Bilanz'!E58</f>
        <v>-5.2424658</v>
      </c>
      <c r="J70" s="468" t="s">
        <v>520</v>
      </c>
      <c r="K70" s="215"/>
      <c r="L70" s="324">
        <f>'CO2-Bilanz'!H58</f>
        <v>-5.2424658</v>
      </c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</row>
    <row r="71" spans="1:84" s="205" customFormat="1" ht="24.75" customHeight="1">
      <c r="A71" s="333"/>
      <c r="B71" s="292" t="s">
        <v>318</v>
      </c>
      <c r="C71" s="275" t="s">
        <v>317</v>
      </c>
      <c r="D71" s="302" t="s">
        <v>539</v>
      </c>
      <c r="E71" s="291"/>
      <c r="F71" s="293">
        <f>SUM(F66:F70)</f>
        <v>11.20492768</v>
      </c>
      <c r="G71" s="356" t="s">
        <v>540</v>
      </c>
      <c r="H71" s="291"/>
      <c r="I71" s="293">
        <f>SUM(I66:I70)</f>
        <v>5.083981612457439</v>
      </c>
      <c r="J71" s="357" t="s">
        <v>541</v>
      </c>
      <c r="K71" s="291"/>
      <c r="L71" s="334">
        <f>SUM(L66:L70)</f>
        <v>7.831763117252535</v>
      </c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</row>
    <row r="72" spans="1:62" s="297" customFormat="1" ht="19.5" customHeight="1">
      <c r="A72" s="577" t="s">
        <v>478</v>
      </c>
      <c r="B72" s="578"/>
      <c r="C72" s="578"/>
      <c r="D72" s="578"/>
      <c r="E72" s="578"/>
      <c r="F72" s="578"/>
      <c r="G72" s="578"/>
      <c r="H72" s="578"/>
      <c r="I72" s="578"/>
      <c r="J72" s="578"/>
      <c r="K72" s="578"/>
      <c r="L72" s="579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</row>
    <row r="73" spans="1:62" s="297" customFormat="1" ht="49.5" customHeight="1" thickBot="1">
      <c r="A73" s="580"/>
      <c r="B73" s="581"/>
      <c r="C73" s="581"/>
      <c r="D73" s="581"/>
      <c r="E73" s="581"/>
      <c r="F73" s="581"/>
      <c r="G73" s="581"/>
      <c r="H73" s="581"/>
      <c r="I73" s="581"/>
      <c r="J73" s="581"/>
      <c r="K73" s="581"/>
      <c r="L73" s="582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</row>
    <row r="74" spans="1:84" s="205" customFormat="1" ht="19.5" customHeight="1" hidden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</row>
    <row r="75" spans="1:84" s="205" customFormat="1" ht="19.5" customHeight="1" hidden="1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</row>
    <row r="76" spans="1:84" s="205" customFormat="1" ht="19.5" customHeight="1" hidden="1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</row>
    <row r="77" spans="1:84" s="205" customFormat="1" ht="19.5" customHeight="1" hidden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</row>
    <row r="78" spans="1:84" s="205" customFormat="1" ht="19.5" customHeight="1" hidden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</row>
    <row r="79" spans="1:84" s="205" customFormat="1" ht="19.5" customHeight="1" hidden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</row>
    <row r="80" spans="1:84" s="205" customFormat="1" ht="19.5" customHeight="1" hidden="1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</row>
    <row r="81" spans="1:84" s="220" customFormat="1" ht="19.5" customHeight="1" hidden="1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1:84" s="220" customFormat="1" ht="19.5" customHeight="1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</row>
    <row r="83" spans="1:84" s="220" customFormat="1" ht="19.5" customHeight="1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0.8</v>
      </c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1:84" s="220" customFormat="1" ht="15.75" hidden="1">
      <c r="A84" s="214"/>
      <c r="B84" s="214"/>
      <c r="C84" s="216"/>
      <c r="D84" s="216"/>
      <c r="E84" s="213"/>
      <c r="F84" s="213"/>
      <c r="G84" s="213"/>
      <c r="H84" s="213"/>
      <c r="I84" s="213"/>
      <c r="J84" s="213"/>
      <c r="K84" s="213"/>
      <c r="L84" s="213"/>
      <c r="M84" s="205">
        <v>2000</v>
      </c>
      <c r="N84" s="205">
        <v>70</v>
      </c>
      <c r="O84" s="217">
        <v>1</v>
      </c>
      <c r="P84" s="205" t="s">
        <v>298</v>
      </c>
      <c r="Q84" s="205">
        <v>25</v>
      </c>
      <c r="R84" s="205">
        <v>15</v>
      </c>
      <c r="S84" s="205">
        <v>45</v>
      </c>
      <c r="T84" s="205">
        <v>50</v>
      </c>
      <c r="U84" s="205">
        <v>25</v>
      </c>
      <c r="V84" s="217">
        <v>3</v>
      </c>
      <c r="W84" s="205">
        <v>50</v>
      </c>
      <c r="X84" s="205">
        <v>0</v>
      </c>
      <c r="Y84" s="217">
        <v>1.5</v>
      </c>
      <c r="Z84" s="217">
        <v>3</v>
      </c>
      <c r="AA84" s="217">
        <v>0.9</v>
      </c>
      <c r="AB84" s="205">
        <v>0</v>
      </c>
      <c r="AC84" s="205">
        <v>0.1</v>
      </c>
      <c r="AD84" s="205">
        <v>1000</v>
      </c>
      <c r="AE84" s="335">
        <f>F66</f>
        <v>10.1208893</v>
      </c>
      <c r="AF84" s="336" t="s">
        <v>454</v>
      </c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</row>
    <row r="85" spans="1:84" s="220" customFormat="1" ht="15.75" hidden="1">
      <c r="A85" s="214"/>
      <c r="B85" s="214"/>
      <c r="C85" s="216"/>
      <c r="D85" s="216"/>
      <c r="E85" s="213"/>
      <c r="F85" s="213"/>
      <c r="G85" s="213"/>
      <c r="H85" s="213"/>
      <c r="I85" s="213"/>
      <c r="J85" s="213"/>
      <c r="K85" s="213"/>
      <c r="L85" s="213"/>
      <c r="M85" s="205">
        <v>2100</v>
      </c>
      <c r="N85" s="205">
        <v>71</v>
      </c>
      <c r="O85" s="217">
        <v>1.1</v>
      </c>
      <c r="P85" s="205" t="s">
        <v>290</v>
      </c>
      <c r="Q85" s="205">
        <v>26</v>
      </c>
      <c r="R85" s="205">
        <v>16</v>
      </c>
      <c r="S85" s="205">
        <v>46</v>
      </c>
      <c r="T85" s="205">
        <v>51</v>
      </c>
      <c r="U85" s="205">
        <v>26</v>
      </c>
      <c r="V85" s="217">
        <v>3.1</v>
      </c>
      <c r="W85" s="205">
        <v>51</v>
      </c>
      <c r="X85" s="205">
        <v>15</v>
      </c>
      <c r="Y85" s="217">
        <v>1.6</v>
      </c>
      <c r="Z85" s="217">
        <v>4</v>
      </c>
      <c r="AA85" s="217">
        <v>1</v>
      </c>
      <c r="AB85" s="205">
        <v>1</v>
      </c>
      <c r="AC85" s="205">
        <v>0.11</v>
      </c>
      <c r="AD85" s="205">
        <v>1001</v>
      </c>
      <c r="AE85" s="335">
        <f>I66</f>
        <v>9.142376779999998</v>
      </c>
      <c r="AF85" s="336" t="s">
        <v>455</v>
      </c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1:84" s="220" customFormat="1" ht="15.75" hidden="1">
      <c r="A86" s="214"/>
      <c r="B86" s="214"/>
      <c r="C86" s="216"/>
      <c r="D86" s="216"/>
      <c r="E86" s="213"/>
      <c r="F86" s="213"/>
      <c r="G86" s="213"/>
      <c r="H86" s="213"/>
      <c r="I86" s="213"/>
      <c r="J86" s="213"/>
      <c r="K86" s="213"/>
      <c r="L86" s="213"/>
      <c r="M86" s="205">
        <v>2200</v>
      </c>
      <c r="N86" s="205">
        <v>72</v>
      </c>
      <c r="O86" s="217">
        <v>1.2</v>
      </c>
      <c r="P86" s="205" t="s">
        <v>289</v>
      </c>
      <c r="Q86" s="205">
        <v>27</v>
      </c>
      <c r="R86" s="205">
        <v>17</v>
      </c>
      <c r="S86" s="205">
        <v>47</v>
      </c>
      <c r="T86" s="205">
        <v>52</v>
      </c>
      <c r="U86" s="205">
        <v>27</v>
      </c>
      <c r="V86" s="217">
        <v>3.2</v>
      </c>
      <c r="W86" s="205">
        <v>52</v>
      </c>
      <c r="X86" s="205">
        <v>16</v>
      </c>
      <c r="Y86" s="217">
        <v>1.7</v>
      </c>
      <c r="Z86" s="217">
        <v>5</v>
      </c>
      <c r="AA86" s="217">
        <v>1.1</v>
      </c>
      <c r="AB86" s="205">
        <v>2</v>
      </c>
      <c r="AC86" s="205">
        <v>0.12</v>
      </c>
      <c r="AD86" s="205">
        <v>1002</v>
      </c>
      <c r="AE86" s="335">
        <f>L66</f>
        <v>9.142376779999998</v>
      </c>
      <c r="AF86" s="336" t="s">
        <v>456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</row>
    <row r="87" spans="1:84" s="220" customFormat="1" ht="15.75" hidden="1">
      <c r="A87" s="214"/>
      <c r="B87" s="214"/>
      <c r="C87" s="216"/>
      <c r="D87" s="216"/>
      <c r="E87" s="213"/>
      <c r="F87" s="213"/>
      <c r="G87" s="213"/>
      <c r="H87" s="213"/>
      <c r="I87" s="213"/>
      <c r="J87" s="213"/>
      <c r="K87" s="213"/>
      <c r="L87" s="213"/>
      <c r="M87" s="205">
        <v>2300</v>
      </c>
      <c r="N87" s="205">
        <v>73</v>
      </c>
      <c r="O87" s="217">
        <v>1.3</v>
      </c>
      <c r="P87" s="205">
        <v>35</v>
      </c>
      <c r="Q87" s="205">
        <v>28</v>
      </c>
      <c r="R87" s="205">
        <v>18</v>
      </c>
      <c r="S87" s="205">
        <v>48</v>
      </c>
      <c r="T87" s="205">
        <v>53</v>
      </c>
      <c r="U87" s="205">
        <v>28</v>
      </c>
      <c r="V87" s="217">
        <v>3.3</v>
      </c>
      <c r="W87" s="205">
        <v>53</v>
      </c>
      <c r="X87" s="205">
        <v>17</v>
      </c>
      <c r="Y87" s="217">
        <v>1.8</v>
      </c>
      <c r="Z87" s="217">
        <v>6</v>
      </c>
      <c r="AA87" s="205"/>
      <c r="AB87" s="205">
        <v>3</v>
      </c>
      <c r="AC87" s="205">
        <v>0.13</v>
      </c>
      <c r="AD87" s="205"/>
      <c r="AE87" s="335">
        <f>F67</f>
        <v>1.08403838</v>
      </c>
      <c r="AF87" s="336" t="s">
        <v>108</v>
      </c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</row>
    <row r="88" spans="1:84" s="220" customFormat="1" ht="15.75" hidden="1">
      <c r="A88" s="214"/>
      <c r="B88" s="214"/>
      <c r="C88" s="216"/>
      <c r="D88" s="216"/>
      <c r="E88" s="213"/>
      <c r="F88" s="213"/>
      <c r="G88" s="213"/>
      <c r="H88" s="213"/>
      <c r="I88" s="213"/>
      <c r="J88" s="213"/>
      <c r="K88" s="213"/>
      <c r="L88" s="213"/>
      <c r="M88" s="205">
        <v>2400</v>
      </c>
      <c r="N88" s="205">
        <v>74</v>
      </c>
      <c r="O88" s="217">
        <v>1.4</v>
      </c>
      <c r="P88" s="205"/>
      <c r="Q88" s="205">
        <v>29</v>
      </c>
      <c r="R88" s="205">
        <v>19</v>
      </c>
      <c r="S88" s="205">
        <v>49</v>
      </c>
      <c r="T88" s="205">
        <v>54</v>
      </c>
      <c r="U88" s="205">
        <v>29</v>
      </c>
      <c r="V88" s="217">
        <v>3.4</v>
      </c>
      <c r="W88" s="205">
        <v>54</v>
      </c>
      <c r="X88" s="205">
        <v>18</v>
      </c>
      <c r="Y88" s="217">
        <v>1.9</v>
      </c>
      <c r="Z88" s="205"/>
      <c r="AA88" s="205"/>
      <c r="AB88" s="205">
        <v>4</v>
      </c>
      <c r="AC88" s="205">
        <v>0.14</v>
      </c>
      <c r="AD88" s="205"/>
      <c r="AE88" s="335">
        <f>I67</f>
        <v>1.4917519300000002</v>
      </c>
      <c r="AF88" s="336" t="s">
        <v>108</v>
      </c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</row>
    <row r="89" spans="1:84" s="220" customFormat="1" ht="15.75" hidden="1">
      <c r="A89" s="214"/>
      <c r="B89" s="214"/>
      <c r="C89" s="216"/>
      <c r="D89" s="216"/>
      <c r="E89" s="213"/>
      <c r="F89" s="213"/>
      <c r="G89" s="213"/>
      <c r="H89" s="213"/>
      <c r="I89" s="213"/>
      <c r="J89" s="213"/>
      <c r="K89" s="213"/>
      <c r="L89" s="213"/>
      <c r="M89" s="205">
        <v>2500</v>
      </c>
      <c r="N89" s="205">
        <v>75</v>
      </c>
      <c r="O89" s="217">
        <v>1.5</v>
      </c>
      <c r="P89" s="205"/>
      <c r="Q89" s="205">
        <v>30</v>
      </c>
      <c r="R89" s="205">
        <v>20</v>
      </c>
      <c r="S89" s="205">
        <v>50</v>
      </c>
      <c r="T89" s="205">
        <v>55</v>
      </c>
      <c r="U89" s="205">
        <v>30</v>
      </c>
      <c r="V89" s="217">
        <v>3.5</v>
      </c>
      <c r="W89" s="205">
        <v>55</v>
      </c>
      <c r="X89" s="205">
        <v>19</v>
      </c>
      <c r="Y89" s="217">
        <v>2</v>
      </c>
      <c r="Z89" s="205"/>
      <c r="AA89" s="205"/>
      <c r="AB89" s="205">
        <v>5</v>
      </c>
      <c r="AC89" s="205">
        <v>0.15</v>
      </c>
      <c r="AD89" s="205"/>
      <c r="AE89" s="335">
        <f>L67</f>
        <v>1.2375305399999998</v>
      </c>
      <c r="AF89" s="336" t="s">
        <v>108</v>
      </c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</row>
    <row r="90" spans="1:84" s="220" customFormat="1" ht="15.75" hidden="1">
      <c r="A90" s="214"/>
      <c r="B90" s="214"/>
      <c r="C90" s="216"/>
      <c r="D90" s="216"/>
      <c r="E90" s="213"/>
      <c r="F90" s="213"/>
      <c r="G90" s="213"/>
      <c r="H90" s="213"/>
      <c r="I90" s="213"/>
      <c r="J90" s="213"/>
      <c r="K90" s="213"/>
      <c r="L90" s="213"/>
      <c r="M90" s="205">
        <v>2600</v>
      </c>
      <c r="N90" s="205">
        <v>76</v>
      </c>
      <c r="O90" s="217">
        <v>1.6</v>
      </c>
      <c r="P90" s="205"/>
      <c r="Q90" s="205"/>
      <c r="R90" s="205">
        <v>21</v>
      </c>
      <c r="S90" s="205">
        <v>51</v>
      </c>
      <c r="T90" s="205">
        <v>56</v>
      </c>
      <c r="U90" s="205">
        <v>31</v>
      </c>
      <c r="V90" s="217">
        <v>3.6</v>
      </c>
      <c r="W90" s="205">
        <v>56</v>
      </c>
      <c r="X90" s="205">
        <v>20</v>
      </c>
      <c r="Y90" s="217">
        <v>2.1</v>
      </c>
      <c r="Z90" s="205"/>
      <c r="AA90" s="205"/>
      <c r="AB90" s="205">
        <v>6</v>
      </c>
      <c r="AC90" s="205">
        <v>0.16</v>
      </c>
      <c r="AD90" s="205"/>
      <c r="AE90" s="335">
        <f>F68</f>
        <v>0</v>
      </c>
      <c r="AF90" s="336" t="s">
        <v>315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</row>
    <row r="91" spans="1:84" s="220" customFormat="1" ht="15.75" hidden="1">
      <c r="A91" s="214"/>
      <c r="B91" s="214"/>
      <c r="C91" s="216"/>
      <c r="D91" s="216"/>
      <c r="E91" s="213"/>
      <c r="F91" s="213"/>
      <c r="G91" s="213"/>
      <c r="H91" s="213"/>
      <c r="I91" s="213"/>
      <c r="J91" s="213"/>
      <c r="K91" s="213"/>
      <c r="L91" s="213"/>
      <c r="M91" s="205">
        <v>2700</v>
      </c>
      <c r="N91" s="205">
        <v>77</v>
      </c>
      <c r="O91" s="217">
        <v>1.7</v>
      </c>
      <c r="P91" s="205"/>
      <c r="Q91" s="205"/>
      <c r="R91" s="205">
        <v>22</v>
      </c>
      <c r="S91" s="205">
        <v>52</v>
      </c>
      <c r="T91" s="205">
        <v>57</v>
      </c>
      <c r="U91" s="205">
        <v>32</v>
      </c>
      <c r="V91" s="217">
        <v>3.7</v>
      </c>
      <c r="W91" s="205">
        <v>57</v>
      </c>
      <c r="X91" s="205">
        <v>21</v>
      </c>
      <c r="Y91" s="217">
        <v>2.2</v>
      </c>
      <c r="Z91" s="205"/>
      <c r="AA91" s="205"/>
      <c r="AB91" s="205">
        <v>7</v>
      </c>
      <c r="AC91" s="205">
        <v>0.17</v>
      </c>
      <c r="AD91" s="205"/>
      <c r="AE91" s="335">
        <f>I68</f>
        <v>3.0958154852574418</v>
      </c>
      <c r="AF91" s="336" t="s">
        <v>315</v>
      </c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</row>
    <row r="92" spans="1:84" s="220" customFormat="1" ht="15.75" hidden="1">
      <c r="A92" s="214"/>
      <c r="B92" s="214"/>
      <c r="C92" s="216"/>
      <c r="D92" s="216"/>
      <c r="E92" s="213"/>
      <c r="F92" s="213"/>
      <c r="G92" s="213"/>
      <c r="H92" s="213"/>
      <c r="I92" s="213"/>
      <c r="J92" s="213"/>
      <c r="K92" s="213"/>
      <c r="L92" s="213"/>
      <c r="M92" s="205">
        <v>2800</v>
      </c>
      <c r="N92" s="205">
        <v>78</v>
      </c>
      <c r="O92" s="217">
        <v>1.8</v>
      </c>
      <c r="P92" s="205"/>
      <c r="Q92" s="205"/>
      <c r="R92" s="205">
        <v>23</v>
      </c>
      <c r="S92" s="205">
        <v>53</v>
      </c>
      <c r="T92" s="205">
        <v>58</v>
      </c>
      <c r="U92" s="205">
        <v>33</v>
      </c>
      <c r="V92" s="217">
        <v>3.8</v>
      </c>
      <c r="W92" s="205">
        <v>58</v>
      </c>
      <c r="X92" s="205">
        <v>22</v>
      </c>
      <c r="Y92" s="205"/>
      <c r="Z92" s="205"/>
      <c r="AA92" s="205"/>
      <c r="AB92" s="205">
        <v>8</v>
      </c>
      <c r="AC92" s="205">
        <v>0.18</v>
      </c>
      <c r="AD92" s="205"/>
      <c r="AE92" s="335">
        <f>L68</f>
        <v>6.097818380052536</v>
      </c>
      <c r="AF92" s="336" t="s">
        <v>315</v>
      </c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</row>
    <row r="93" spans="1:84" s="220" customFormat="1" ht="15.75" hidden="1">
      <c r="A93" s="214"/>
      <c r="B93" s="214"/>
      <c r="C93" s="216"/>
      <c r="D93" s="216"/>
      <c r="E93" s="213"/>
      <c r="F93" s="213"/>
      <c r="G93" s="213"/>
      <c r="H93" s="213"/>
      <c r="I93" s="213"/>
      <c r="J93" s="213"/>
      <c r="K93" s="213"/>
      <c r="L93" s="213"/>
      <c r="M93" s="205">
        <v>2900</v>
      </c>
      <c r="N93" s="205">
        <v>79</v>
      </c>
      <c r="O93" s="217">
        <v>1.9</v>
      </c>
      <c r="P93" s="205"/>
      <c r="Q93" s="205"/>
      <c r="R93" s="205">
        <v>24</v>
      </c>
      <c r="S93" s="205">
        <v>54</v>
      </c>
      <c r="T93" s="205">
        <v>59</v>
      </c>
      <c r="U93" s="205">
        <v>34</v>
      </c>
      <c r="V93" s="217">
        <v>3.9</v>
      </c>
      <c r="W93" s="205">
        <v>59</v>
      </c>
      <c r="X93" s="205">
        <v>23</v>
      </c>
      <c r="Y93" s="205"/>
      <c r="Z93" s="205"/>
      <c r="AA93" s="205"/>
      <c r="AB93" s="205">
        <v>9</v>
      </c>
      <c r="AC93" s="205">
        <v>0.19</v>
      </c>
      <c r="AD93" s="205"/>
      <c r="AE93" s="335">
        <f>F69</f>
        <v>0</v>
      </c>
      <c r="AF93" s="336" t="s">
        <v>220</v>
      </c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</row>
    <row r="94" spans="1:84" s="220" customFormat="1" ht="15.75" hidden="1">
      <c r="A94" s="214"/>
      <c r="B94" s="214"/>
      <c r="C94" s="216"/>
      <c r="D94" s="216"/>
      <c r="E94" s="213"/>
      <c r="F94" s="213"/>
      <c r="G94" s="213"/>
      <c r="H94" s="213"/>
      <c r="I94" s="213"/>
      <c r="J94" s="213"/>
      <c r="K94" s="213"/>
      <c r="L94" s="213"/>
      <c r="M94" s="205">
        <v>3000</v>
      </c>
      <c r="N94" s="205">
        <v>80</v>
      </c>
      <c r="O94" s="217">
        <v>2</v>
      </c>
      <c r="P94" s="205"/>
      <c r="Q94" s="205"/>
      <c r="R94" s="205">
        <v>25</v>
      </c>
      <c r="S94" s="205">
        <v>55</v>
      </c>
      <c r="T94" s="205">
        <v>60</v>
      </c>
      <c r="U94" s="205">
        <v>35</v>
      </c>
      <c r="V94" s="217">
        <v>4</v>
      </c>
      <c r="W94" s="205">
        <v>60</v>
      </c>
      <c r="X94" s="205">
        <v>24</v>
      </c>
      <c r="Y94" s="205"/>
      <c r="Z94" s="205"/>
      <c r="AA94" s="205"/>
      <c r="AB94" s="205">
        <v>10</v>
      </c>
      <c r="AC94" s="205">
        <v>0.2</v>
      </c>
      <c r="AD94" s="205"/>
      <c r="AE94" s="335">
        <f>I69</f>
        <v>-3.403496782799999</v>
      </c>
      <c r="AF94" s="336" t="s">
        <v>220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</row>
    <row r="95" spans="1:84" s="220" customFormat="1" ht="15.75" hidden="1">
      <c r="A95" s="214"/>
      <c r="B95" s="214"/>
      <c r="C95" s="216"/>
      <c r="D95" s="216"/>
      <c r="E95" s="213"/>
      <c r="F95" s="213"/>
      <c r="G95" s="213"/>
      <c r="H95" s="213"/>
      <c r="I95" s="213"/>
      <c r="J95" s="213"/>
      <c r="K95" s="213"/>
      <c r="L95" s="213"/>
      <c r="M95" s="205">
        <v>3100</v>
      </c>
      <c r="N95" s="205">
        <v>81</v>
      </c>
      <c r="O95" s="205"/>
      <c r="P95" s="205"/>
      <c r="Q95" s="205"/>
      <c r="R95" s="205">
        <v>26</v>
      </c>
      <c r="S95" s="205">
        <v>56</v>
      </c>
      <c r="T95" s="205">
        <v>61</v>
      </c>
      <c r="U95" s="205"/>
      <c r="V95" s="217">
        <v>4.1</v>
      </c>
      <c r="W95" s="205">
        <v>61</v>
      </c>
      <c r="X95" s="205">
        <v>25</v>
      </c>
      <c r="Y95" s="205"/>
      <c r="Z95" s="205"/>
      <c r="AA95" s="205"/>
      <c r="AB95" s="205">
        <v>11</v>
      </c>
      <c r="AC95" s="205"/>
      <c r="AD95" s="205"/>
      <c r="AE95" s="335">
        <f>L69</f>
        <v>-3.403496782799999</v>
      </c>
      <c r="AF95" s="336" t="s">
        <v>220</v>
      </c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</row>
    <row r="96" spans="1:84" s="220" customFormat="1" ht="15.75" hidden="1">
      <c r="A96" s="214"/>
      <c r="B96" s="214"/>
      <c r="C96" s="216"/>
      <c r="D96" s="216"/>
      <c r="E96" s="213"/>
      <c r="F96" s="213"/>
      <c r="G96" s="213"/>
      <c r="H96" s="213"/>
      <c r="I96" s="213"/>
      <c r="J96" s="213"/>
      <c r="K96" s="213"/>
      <c r="L96" s="213"/>
      <c r="M96" s="205">
        <v>3200</v>
      </c>
      <c r="N96" s="205">
        <v>82</v>
      </c>
      <c r="O96" s="205"/>
      <c r="P96" s="205"/>
      <c r="Q96" s="205"/>
      <c r="R96" s="205">
        <v>27</v>
      </c>
      <c r="S96" s="205">
        <v>57</v>
      </c>
      <c r="T96" s="205">
        <v>62</v>
      </c>
      <c r="U96" s="205"/>
      <c r="V96" s="217">
        <v>4.2</v>
      </c>
      <c r="W96" s="205">
        <v>62</v>
      </c>
      <c r="X96" s="205"/>
      <c r="Y96" s="205"/>
      <c r="Z96" s="205"/>
      <c r="AA96" s="205"/>
      <c r="AB96" s="205">
        <v>12</v>
      </c>
      <c r="AC96" s="205"/>
      <c r="AD96" s="205"/>
      <c r="AE96" s="335">
        <f>F70</f>
        <v>0</v>
      </c>
      <c r="AF96" s="336" t="s">
        <v>316</v>
      </c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</row>
    <row r="97" spans="1:84" s="220" customFormat="1" ht="15.75" hidden="1">
      <c r="A97" s="214"/>
      <c r="B97" s="214"/>
      <c r="C97" s="216"/>
      <c r="D97" s="216"/>
      <c r="E97" s="213"/>
      <c r="F97" s="213"/>
      <c r="G97" s="213"/>
      <c r="H97" s="213"/>
      <c r="I97" s="213"/>
      <c r="J97" s="213"/>
      <c r="K97" s="213"/>
      <c r="L97" s="213"/>
      <c r="M97" s="205">
        <v>3300</v>
      </c>
      <c r="N97" s="205">
        <v>83</v>
      </c>
      <c r="O97" s="205"/>
      <c r="P97" s="205"/>
      <c r="Q97" s="205"/>
      <c r="R97" s="205">
        <v>28</v>
      </c>
      <c r="S97" s="205">
        <v>58</v>
      </c>
      <c r="T97" s="205">
        <v>63</v>
      </c>
      <c r="U97" s="205"/>
      <c r="V97" s="217">
        <v>4.3</v>
      </c>
      <c r="W97" s="205">
        <v>63</v>
      </c>
      <c r="X97" s="205"/>
      <c r="Y97" s="205"/>
      <c r="Z97" s="205"/>
      <c r="AA97" s="205"/>
      <c r="AB97" s="205">
        <v>13</v>
      </c>
      <c r="AC97" s="205"/>
      <c r="AD97" s="205"/>
      <c r="AE97" s="335">
        <f>I70</f>
        <v>-5.2424658</v>
      </c>
      <c r="AF97" s="336" t="s">
        <v>316</v>
      </c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</row>
    <row r="98" spans="1:84" s="220" customFormat="1" ht="15.75" hidden="1">
      <c r="A98" s="214"/>
      <c r="B98" s="214"/>
      <c r="C98" s="216"/>
      <c r="D98" s="216"/>
      <c r="E98" s="213"/>
      <c r="F98" s="213"/>
      <c r="G98" s="213"/>
      <c r="H98" s="213"/>
      <c r="I98" s="213"/>
      <c r="J98" s="213"/>
      <c r="K98" s="213"/>
      <c r="L98" s="213"/>
      <c r="M98" s="205">
        <v>3400</v>
      </c>
      <c r="N98" s="205">
        <v>84</v>
      </c>
      <c r="O98" s="205"/>
      <c r="P98" s="205"/>
      <c r="Q98" s="205"/>
      <c r="R98" s="205">
        <v>29</v>
      </c>
      <c r="S98" s="205">
        <v>59</v>
      </c>
      <c r="T98" s="205">
        <v>64</v>
      </c>
      <c r="U98" s="205"/>
      <c r="V98" s="217">
        <v>4.4</v>
      </c>
      <c r="W98" s="205">
        <v>64</v>
      </c>
      <c r="X98" s="205"/>
      <c r="Y98" s="205"/>
      <c r="Z98" s="205"/>
      <c r="AA98" s="205"/>
      <c r="AB98" s="205">
        <v>14</v>
      </c>
      <c r="AC98" s="205"/>
      <c r="AD98" s="205"/>
      <c r="AE98" s="335">
        <f>L70</f>
        <v>-5.2424658</v>
      </c>
      <c r="AF98" s="336" t="s">
        <v>316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</row>
    <row r="99" spans="1:84" s="220" customFormat="1" ht="15.75" hidden="1">
      <c r="A99" s="214"/>
      <c r="B99" s="214"/>
      <c r="C99" s="216"/>
      <c r="D99" s="216"/>
      <c r="E99" s="213"/>
      <c r="F99" s="213"/>
      <c r="G99" s="213"/>
      <c r="H99" s="213"/>
      <c r="I99" s="213"/>
      <c r="J99" s="213"/>
      <c r="K99" s="213"/>
      <c r="L99" s="213"/>
      <c r="M99" s="205">
        <v>3500</v>
      </c>
      <c r="N99" s="205">
        <v>85</v>
      </c>
      <c r="O99" s="205"/>
      <c r="P99" s="205"/>
      <c r="Q99" s="205"/>
      <c r="R99" s="205">
        <v>30</v>
      </c>
      <c r="S99" s="205">
        <v>60</v>
      </c>
      <c r="T99" s="205">
        <v>65</v>
      </c>
      <c r="U99" s="205"/>
      <c r="V99" s="217">
        <v>4.5</v>
      </c>
      <c r="W99" s="205">
        <v>65</v>
      </c>
      <c r="X99" s="205"/>
      <c r="Y99" s="205"/>
      <c r="Z99" s="205"/>
      <c r="AA99" s="205"/>
      <c r="AB99" s="205">
        <v>15</v>
      </c>
      <c r="AC99" s="205"/>
      <c r="AD99" s="205"/>
      <c r="AE99" s="335">
        <f>F71</f>
        <v>11.20492768</v>
      </c>
      <c r="AF99" s="336" t="s">
        <v>318</v>
      </c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</row>
    <row r="100" spans="1:84" s="220" customFormat="1" ht="15.75" hidden="1">
      <c r="A100" s="214"/>
      <c r="B100" s="214"/>
      <c r="C100" s="216"/>
      <c r="D100" s="216"/>
      <c r="E100" s="213"/>
      <c r="F100" s="213"/>
      <c r="G100" s="213"/>
      <c r="H100" s="213"/>
      <c r="I100" s="213"/>
      <c r="J100" s="213"/>
      <c r="K100" s="213"/>
      <c r="L100" s="213"/>
      <c r="M100" s="205">
        <v>3600</v>
      </c>
      <c r="N100" s="205">
        <v>86</v>
      </c>
      <c r="O100" s="205"/>
      <c r="P100" s="205"/>
      <c r="Q100" s="205"/>
      <c r="R100" s="205">
        <v>31</v>
      </c>
      <c r="S100" s="205">
        <v>61</v>
      </c>
      <c r="T100" s="205">
        <v>66</v>
      </c>
      <c r="U100" s="205"/>
      <c r="V100" s="217">
        <v>4.6</v>
      </c>
      <c r="W100" s="205">
        <v>66</v>
      </c>
      <c r="X100" s="205"/>
      <c r="Y100" s="205"/>
      <c r="Z100" s="205"/>
      <c r="AA100" s="205"/>
      <c r="AB100" s="205">
        <v>16</v>
      </c>
      <c r="AC100" s="205"/>
      <c r="AD100" s="205"/>
      <c r="AE100" s="335">
        <f>I71</f>
        <v>5.083981612457439</v>
      </c>
      <c r="AF100" s="336" t="s">
        <v>318</v>
      </c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</row>
    <row r="101" spans="1:84" s="220" customFormat="1" ht="15.75" hidden="1">
      <c r="A101" s="214"/>
      <c r="B101" s="214"/>
      <c r="C101" s="216"/>
      <c r="D101" s="216"/>
      <c r="E101" s="213"/>
      <c r="F101" s="213"/>
      <c r="G101" s="213"/>
      <c r="H101" s="213"/>
      <c r="I101" s="213"/>
      <c r="J101" s="213"/>
      <c r="K101" s="213"/>
      <c r="L101" s="213"/>
      <c r="M101" s="205">
        <v>3700</v>
      </c>
      <c r="N101" s="205">
        <v>87</v>
      </c>
      <c r="O101" s="205"/>
      <c r="P101" s="205"/>
      <c r="Q101" s="205"/>
      <c r="R101" s="205">
        <v>32</v>
      </c>
      <c r="S101" s="205">
        <v>62</v>
      </c>
      <c r="T101" s="205">
        <v>67</v>
      </c>
      <c r="U101" s="205"/>
      <c r="V101" s="217">
        <v>4.7</v>
      </c>
      <c r="W101" s="205">
        <v>67</v>
      </c>
      <c r="X101" s="205"/>
      <c r="Y101" s="205"/>
      <c r="Z101" s="205"/>
      <c r="AA101" s="205"/>
      <c r="AB101" s="205">
        <v>17</v>
      </c>
      <c r="AC101" s="205"/>
      <c r="AD101" s="205"/>
      <c r="AE101" s="335">
        <f>L71</f>
        <v>7.831763117252535</v>
      </c>
      <c r="AF101" s="336" t="s">
        <v>318</v>
      </c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</row>
    <row r="102" spans="1:84" s="220" customFormat="1" ht="15.75" hidden="1">
      <c r="A102" s="214"/>
      <c r="B102" s="214"/>
      <c r="C102" s="216"/>
      <c r="D102" s="216"/>
      <c r="E102" s="213"/>
      <c r="F102" s="213"/>
      <c r="G102" s="213"/>
      <c r="H102" s="213"/>
      <c r="I102" s="213"/>
      <c r="J102" s="213"/>
      <c r="K102" s="213"/>
      <c r="L102" s="213"/>
      <c r="M102" s="205">
        <v>3800</v>
      </c>
      <c r="N102" s="205">
        <v>88</v>
      </c>
      <c r="O102" s="205"/>
      <c r="P102" s="205"/>
      <c r="Q102" s="205"/>
      <c r="R102" s="205">
        <v>33</v>
      </c>
      <c r="S102" s="205">
        <v>63</v>
      </c>
      <c r="T102" s="205">
        <v>68</v>
      </c>
      <c r="U102" s="205"/>
      <c r="V102" s="217">
        <v>4.8</v>
      </c>
      <c r="W102" s="205">
        <v>68</v>
      </c>
      <c r="X102" s="205"/>
      <c r="Y102" s="205"/>
      <c r="Z102" s="205"/>
      <c r="AA102" s="205"/>
      <c r="AB102" s="205">
        <v>18</v>
      </c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</row>
    <row r="103" spans="1:84" s="220" customFormat="1" ht="15.75" hidden="1">
      <c r="A103" s="214"/>
      <c r="B103" s="214"/>
      <c r="C103" s="216"/>
      <c r="D103" s="216"/>
      <c r="E103" s="213"/>
      <c r="F103" s="213"/>
      <c r="G103" s="213"/>
      <c r="H103" s="213"/>
      <c r="I103" s="213"/>
      <c r="J103" s="213"/>
      <c r="K103" s="213"/>
      <c r="L103" s="213"/>
      <c r="M103" s="205">
        <v>3900</v>
      </c>
      <c r="N103" s="205">
        <v>89</v>
      </c>
      <c r="O103" s="205"/>
      <c r="P103" s="205"/>
      <c r="Q103" s="205"/>
      <c r="R103" s="205">
        <v>34</v>
      </c>
      <c r="S103" s="205">
        <v>64</v>
      </c>
      <c r="T103" s="205">
        <v>69</v>
      </c>
      <c r="U103" s="205"/>
      <c r="V103" s="217">
        <v>4.9</v>
      </c>
      <c r="W103" s="205">
        <v>69</v>
      </c>
      <c r="X103" s="205"/>
      <c r="Y103" s="205"/>
      <c r="Z103" s="205"/>
      <c r="AA103" s="205"/>
      <c r="AB103" s="205">
        <v>19</v>
      </c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</row>
    <row r="104" spans="1:84" s="220" customFormat="1" ht="15.75" hidden="1">
      <c r="A104" s="214"/>
      <c r="B104" s="214"/>
      <c r="C104" s="216"/>
      <c r="D104" s="216"/>
      <c r="E104" s="213"/>
      <c r="F104" s="213"/>
      <c r="G104" s="213"/>
      <c r="H104" s="213"/>
      <c r="I104" s="213"/>
      <c r="J104" s="213"/>
      <c r="K104" s="213"/>
      <c r="L104" s="213"/>
      <c r="M104" s="205">
        <v>4000</v>
      </c>
      <c r="N104" s="205">
        <v>90</v>
      </c>
      <c r="O104" s="205"/>
      <c r="P104" s="205"/>
      <c r="Q104" s="205"/>
      <c r="R104" s="205">
        <v>35</v>
      </c>
      <c r="S104" s="205">
        <v>65</v>
      </c>
      <c r="T104" s="205">
        <v>70</v>
      </c>
      <c r="U104" s="205"/>
      <c r="V104" s="217">
        <v>5</v>
      </c>
      <c r="W104" s="205">
        <v>70</v>
      </c>
      <c r="X104" s="205"/>
      <c r="Y104" s="205"/>
      <c r="Z104" s="205"/>
      <c r="AA104" s="205"/>
      <c r="AB104" s="205">
        <v>20</v>
      </c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</row>
    <row r="105" spans="1:84" s="220" customFormat="1" ht="15.75" hidden="1">
      <c r="A105" s="214"/>
      <c r="B105" s="214"/>
      <c r="C105" s="216"/>
      <c r="D105" s="216"/>
      <c r="E105" s="213"/>
      <c r="F105" s="213"/>
      <c r="G105" s="213"/>
      <c r="H105" s="213"/>
      <c r="I105" s="213"/>
      <c r="J105" s="213"/>
      <c r="K105" s="213"/>
      <c r="L105" s="213"/>
      <c r="M105" s="205">
        <v>4100</v>
      </c>
      <c r="N105" s="205">
        <v>91</v>
      </c>
      <c r="O105" s="205"/>
      <c r="P105" s="205"/>
      <c r="Q105" s="205"/>
      <c r="R105" s="205">
        <v>36</v>
      </c>
      <c r="S105" s="205">
        <v>66</v>
      </c>
      <c r="T105" s="205"/>
      <c r="U105" s="205"/>
      <c r="V105" s="217">
        <v>5.1</v>
      </c>
      <c r="W105" s="205">
        <v>71</v>
      </c>
      <c r="X105" s="205"/>
      <c r="Y105" s="205"/>
      <c r="Z105" s="205"/>
      <c r="AA105" s="205"/>
      <c r="AB105" s="205">
        <v>21</v>
      </c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</row>
    <row r="106" spans="1:84" s="220" customFormat="1" ht="15.75" hidden="1">
      <c r="A106" s="214"/>
      <c r="B106" s="214"/>
      <c r="C106" s="216"/>
      <c r="D106" s="216"/>
      <c r="E106" s="213"/>
      <c r="F106" s="213"/>
      <c r="G106" s="213"/>
      <c r="H106" s="213"/>
      <c r="I106" s="213"/>
      <c r="J106" s="213"/>
      <c r="K106" s="213"/>
      <c r="L106" s="213"/>
      <c r="M106" s="205">
        <v>4200</v>
      </c>
      <c r="N106" s="205">
        <v>92</v>
      </c>
      <c r="O106" s="205"/>
      <c r="P106" s="205"/>
      <c r="Q106" s="205"/>
      <c r="R106" s="205">
        <v>37</v>
      </c>
      <c r="S106" s="205">
        <v>67</v>
      </c>
      <c r="T106" s="205"/>
      <c r="U106" s="205"/>
      <c r="V106" s="217">
        <v>5.2</v>
      </c>
      <c r="W106" s="205">
        <v>72</v>
      </c>
      <c r="X106" s="205"/>
      <c r="Y106" s="205"/>
      <c r="Z106" s="205"/>
      <c r="AA106" s="205"/>
      <c r="AB106" s="205">
        <v>22</v>
      </c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</row>
    <row r="107" spans="1:84" s="220" customFormat="1" ht="15.75" hidden="1">
      <c r="A107" s="214"/>
      <c r="B107" s="214"/>
      <c r="C107" s="216"/>
      <c r="D107" s="216"/>
      <c r="E107" s="213"/>
      <c r="F107" s="213"/>
      <c r="G107" s="213"/>
      <c r="H107" s="213"/>
      <c r="I107" s="213"/>
      <c r="J107" s="213"/>
      <c r="K107" s="213"/>
      <c r="L107" s="213"/>
      <c r="M107" s="205">
        <v>4300</v>
      </c>
      <c r="N107" s="205">
        <v>93</v>
      </c>
      <c r="O107" s="205"/>
      <c r="P107" s="205"/>
      <c r="Q107" s="205"/>
      <c r="R107" s="205">
        <v>38</v>
      </c>
      <c r="S107" s="205">
        <v>68</v>
      </c>
      <c r="T107" s="205"/>
      <c r="U107" s="205"/>
      <c r="V107" s="217">
        <v>5.3</v>
      </c>
      <c r="W107" s="205">
        <v>73</v>
      </c>
      <c r="X107" s="205"/>
      <c r="Y107" s="205"/>
      <c r="Z107" s="205"/>
      <c r="AA107" s="205"/>
      <c r="AB107" s="205">
        <v>23</v>
      </c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</row>
    <row r="108" spans="1:84" s="220" customFormat="1" ht="15.75" hidden="1">
      <c r="A108" s="214"/>
      <c r="B108" s="214"/>
      <c r="C108" s="216"/>
      <c r="D108" s="216"/>
      <c r="E108" s="213"/>
      <c r="F108" s="213"/>
      <c r="G108" s="213"/>
      <c r="H108" s="213"/>
      <c r="I108" s="213"/>
      <c r="J108" s="213"/>
      <c r="K108" s="213"/>
      <c r="L108" s="213"/>
      <c r="M108" s="205">
        <v>4400</v>
      </c>
      <c r="N108" s="205">
        <v>94</v>
      </c>
      <c r="O108" s="205"/>
      <c r="P108" s="205"/>
      <c r="Q108" s="205"/>
      <c r="R108" s="205">
        <v>39</v>
      </c>
      <c r="S108" s="205">
        <v>69</v>
      </c>
      <c r="T108" s="205"/>
      <c r="U108" s="205"/>
      <c r="V108" s="217">
        <v>5.4</v>
      </c>
      <c r="W108" s="205">
        <v>74</v>
      </c>
      <c r="X108" s="205"/>
      <c r="Y108" s="205"/>
      <c r="Z108" s="205"/>
      <c r="AA108" s="205"/>
      <c r="AB108" s="205">
        <v>24</v>
      </c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</row>
    <row r="109" spans="1:84" s="220" customFormat="1" ht="15.75" hidden="1">
      <c r="A109" s="214"/>
      <c r="B109" s="214"/>
      <c r="C109" s="216"/>
      <c r="D109" s="216"/>
      <c r="E109" s="213"/>
      <c r="F109" s="213"/>
      <c r="G109" s="213"/>
      <c r="H109" s="213"/>
      <c r="I109" s="213"/>
      <c r="J109" s="213"/>
      <c r="K109" s="213"/>
      <c r="L109" s="213"/>
      <c r="M109" s="205">
        <v>4500</v>
      </c>
      <c r="N109" s="205">
        <v>95</v>
      </c>
      <c r="O109" s="205"/>
      <c r="P109" s="205"/>
      <c r="Q109" s="205"/>
      <c r="R109" s="205">
        <v>40</v>
      </c>
      <c r="S109" s="205">
        <v>70</v>
      </c>
      <c r="T109" s="205"/>
      <c r="U109" s="205"/>
      <c r="V109" s="217">
        <v>5.5</v>
      </c>
      <c r="W109" s="205">
        <v>75</v>
      </c>
      <c r="X109" s="205"/>
      <c r="Y109" s="205"/>
      <c r="Z109" s="205"/>
      <c r="AA109" s="205"/>
      <c r="AB109" s="205">
        <v>25</v>
      </c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</row>
    <row r="110" spans="1:84" s="220" customFormat="1" ht="15.75" hidden="1">
      <c r="A110" s="214"/>
      <c r="B110" s="214"/>
      <c r="C110" s="216"/>
      <c r="D110" s="216"/>
      <c r="E110" s="213"/>
      <c r="F110" s="213"/>
      <c r="G110" s="213"/>
      <c r="H110" s="213"/>
      <c r="I110" s="213"/>
      <c r="J110" s="213"/>
      <c r="K110" s="213"/>
      <c r="L110" s="213"/>
      <c r="M110" s="205">
        <v>4600</v>
      </c>
      <c r="N110" s="205">
        <v>96</v>
      </c>
      <c r="O110" s="205"/>
      <c r="P110" s="205"/>
      <c r="Q110" s="205"/>
      <c r="R110" s="205"/>
      <c r="S110" s="205">
        <v>71</v>
      </c>
      <c r="T110" s="205"/>
      <c r="U110" s="205"/>
      <c r="V110" s="217">
        <v>5.6</v>
      </c>
      <c r="W110" s="205"/>
      <c r="X110" s="205"/>
      <c r="Y110" s="205"/>
      <c r="Z110" s="205"/>
      <c r="AA110" s="205"/>
      <c r="AB110" s="205">
        <v>26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</row>
    <row r="111" spans="1:84" s="220" customFormat="1" ht="15.75" hidden="1">
      <c r="A111" s="214"/>
      <c r="B111" s="214"/>
      <c r="C111" s="216"/>
      <c r="D111" s="216"/>
      <c r="E111" s="213"/>
      <c r="F111" s="213"/>
      <c r="G111" s="213"/>
      <c r="H111" s="213"/>
      <c r="I111" s="213"/>
      <c r="J111" s="213"/>
      <c r="K111" s="213"/>
      <c r="L111" s="213"/>
      <c r="M111" s="205">
        <v>4700</v>
      </c>
      <c r="N111" s="205">
        <v>97</v>
      </c>
      <c r="O111" s="205"/>
      <c r="P111" s="205"/>
      <c r="Q111" s="205"/>
      <c r="R111" s="205"/>
      <c r="S111" s="205">
        <v>72</v>
      </c>
      <c r="T111" s="205"/>
      <c r="U111" s="205"/>
      <c r="V111" s="217">
        <v>5.7</v>
      </c>
      <c r="W111" s="205"/>
      <c r="X111" s="205"/>
      <c r="Y111" s="205"/>
      <c r="Z111" s="205"/>
      <c r="AA111" s="205"/>
      <c r="AB111" s="205">
        <v>27</v>
      </c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</row>
    <row r="112" spans="1:84" s="220" customFormat="1" ht="15.75" hidden="1">
      <c r="A112" s="214"/>
      <c r="B112" s="214"/>
      <c r="C112" s="216"/>
      <c r="D112" s="216"/>
      <c r="E112" s="213"/>
      <c r="F112" s="213"/>
      <c r="G112" s="213"/>
      <c r="H112" s="213"/>
      <c r="I112" s="213"/>
      <c r="J112" s="213"/>
      <c r="K112" s="213"/>
      <c r="L112" s="213"/>
      <c r="M112" s="205">
        <v>4800</v>
      </c>
      <c r="N112" s="205">
        <v>98</v>
      </c>
      <c r="O112" s="205"/>
      <c r="P112" s="205"/>
      <c r="Q112" s="205"/>
      <c r="R112" s="205"/>
      <c r="S112" s="205">
        <v>73</v>
      </c>
      <c r="T112" s="205"/>
      <c r="U112" s="205"/>
      <c r="V112" s="217">
        <v>5.8</v>
      </c>
      <c r="W112" s="205"/>
      <c r="X112" s="205"/>
      <c r="Y112" s="205"/>
      <c r="Z112" s="205"/>
      <c r="AA112" s="205"/>
      <c r="AB112" s="205">
        <v>28</v>
      </c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</row>
    <row r="113" spans="1:84" s="220" customFormat="1" ht="15.75" hidden="1">
      <c r="A113" s="214"/>
      <c r="B113" s="214"/>
      <c r="C113" s="216"/>
      <c r="D113" s="216"/>
      <c r="E113" s="213"/>
      <c r="F113" s="213"/>
      <c r="G113" s="213"/>
      <c r="H113" s="213"/>
      <c r="I113" s="213"/>
      <c r="J113" s="213"/>
      <c r="K113" s="213"/>
      <c r="L113" s="213"/>
      <c r="M113" s="205">
        <v>4900</v>
      </c>
      <c r="N113" s="205">
        <v>99</v>
      </c>
      <c r="O113" s="205"/>
      <c r="P113" s="205"/>
      <c r="Q113" s="205"/>
      <c r="R113" s="205"/>
      <c r="S113" s="205">
        <v>74</v>
      </c>
      <c r="T113" s="205"/>
      <c r="U113" s="205"/>
      <c r="V113" s="217">
        <v>5.9</v>
      </c>
      <c r="W113" s="205"/>
      <c r="X113" s="205"/>
      <c r="Y113" s="205"/>
      <c r="Z113" s="205"/>
      <c r="AA113" s="205"/>
      <c r="AB113" s="205">
        <v>29</v>
      </c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</row>
    <row r="114" spans="1:84" s="220" customFormat="1" ht="15.75" hidden="1">
      <c r="A114" s="214"/>
      <c r="B114" s="214"/>
      <c r="C114" s="216"/>
      <c r="D114" s="216"/>
      <c r="E114" s="213"/>
      <c r="F114" s="213"/>
      <c r="G114" s="213"/>
      <c r="H114" s="213"/>
      <c r="I114" s="213"/>
      <c r="J114" s="213"/>
      <c r="K114" s="213"/>
      <c r="L114" s="213"/>
      <c r="M114" s="205">
        <v>5000</v>
      </c>
      <c r="N114" s="205">
        <v>100</v>
      </c>
      <c r="O114" s="205"/>
      <c r="P114" s="205"/>
      <c r="Q114" s="205"/>
      <c r="R114" s="205"/>
      <c r="S114" s="205">
        <v>75</v>
      </c>
      <c r="T114" s="205"/>
      <c r="U114" s="205"/>
      <c r="V114" s="217">
        <v>6</v>
      </c>
      <c r="W114" s="205"/>
      <c r="X114" s="205"/>
      <c r="Y114" s="205"/>
      <c r="Z114" s="205"/>
      <c r="AA114" s="205"/>
      <c r="AB114" s="205">
        <v>30</v>
      </c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</row>
    <row r="115" spans="1:84" s="220" customFormat="1" ht="15.75" hidden="1">
      <c r="A115" s="214"/>
      <c r="B115" s="214"/>
      <c r="C115" s="216"/>
      <c r="D115" s="216"/>
      <c r="E115" s="213"/>
      <c r="F115" s="213"/>
      <c r="G115" s="213"/>
      <c r="H115" s="213"/>
      <c r="I115" s="213"/>
      <c r="J115" s="213"/>
      <c r="K115" s="213"/>
      <c r="L115" s="213"/>
      <c r="M115" s="205">
        <v>5100</v>
      </c>
      <c r="N115" s="205"/>
      <c r="O115" s="205"/>
      <c r="P115" s="205"/>
      <c r="Q115" s="205"/>
      <c r="R115" s="205"/>
      <c r="S115" s="205">
        <v>76</v>
      </c>
      <c r="T115" s="205"/>
      <c r="U115" s="205"/>
      <c r="V115" s="205"/>
      <c r="W115" s="205"/>
      <c r="X115" s="205"/>
      <c r="Y115" s="205"/>
      <c r="Z115" s="205"/>
      <c r="AA115" s="205"/>
      <c r="AB115" s="205">
        <v>31</v>
      </c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</row>
    <row r="116" spans="1:84" s="220" customFormat="1" ht="15.75" hidden="1">
      <c r="A116" s="214"/>
      <c r="B116" s="214"/>
      <c r="C116" s="216"/>
      <c r="D116" s="216"/>
      <c r="E116" s="213"/>
      <c r="F116" s="213"/>
      <c r="G116" s="213"/>
      <c r="H116" s="213"/>
      <c r="I116" s="213"/>
      <c r="J116" s="213"/>
      <c r="K116" s="213"/>
      <c r="L116" s="213"/>
      <c r="M116" s="205">
        <v>5200</v>
      </c>
      <c r="N116" s="205"/>
      <c r="O116" s="205"/>
      <c r="P116" s="205"/>
      <c r="Q116" s="205"/>
      <c r="R116" s="205"/>
      <c r="S116" s="205">
        <v>77</v>
      </c>
      <c r="T116" s="205"/>
      <c r="U116" s="205"/>
      <c r="V116" s="205"/>
      <c r="W116" s="205"/>
      <c r="X116" s="205"/>
      <c r="Y116" s="205"/>
      <c r="Z116" s="205"/>
      <c r="AA116" s="205"/>
      <c r="AB116" s="205">
        <v>32</v>
      </c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</row>
    <row r="117" spans="1:84" s="220" customFormat="1" ht="15.75" hidden="1">
      <c r="A117" s="214"/>
      <c r="B117" s="214"/>
      <c r="C117" s="216"/>
      <c r="D117" s="216"/>
      <c r="E117" s="213"/>
      <c r="F117" s="213"/>
      <c r="G117" s="213"/>
      <c r="H117" s="213"/>
      <c r="I117" s="213"/>
      <c r="J117" s="213"/>
      <c r="K117" s="213"/>
      <c r="L117" s="213"/>
      <c r="M117" s="205">
        <v>5300</v>
      </c>
      <c r="N117" s="205"/>
      <c r="O117" s="205"/>
      <c r="P117" s="205"/>
      <c r="Q117" s="205"/>
      <c r="R117" s="205"/>
      <c r="S117" s="205">
        <v>78</v>
      </c>
      <c r="T117" s="205"/>
      <c r="U117" s="205"/>
      <c r="V117" s="205"/>
      <c r="W117" s="205"/>
      <c r="X117" s="205"/>
      <c r="Y117" s="205"/>
      <c r="Z117" s="205"/>
      <c r="AA117" s="205"/>
      <c r="AB117" s="205">
        <v>33</v>
      </c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</row>
    <row r="118" spans="1:84" s="220" customFormat="1" ht="15.75" hidden="1">
      <c r="A118" s="214"/>
      <c r="B118" s="214"/>
      <c r="C118" s="216"/>
      <c r="D118" s="216"/>
      <c r="E118" s="213"/>
      <c r="F118" s="213"/>
      <c r="G118" s="213"/>
      <c r="H118" s="213"/>
      <c r="I118" s="213"/>
      <c r="J118" s="213"/>
      <c r="K118" s="213"/>
      <c r="L118" s="213"/>
      <c r="M118" s="205">
        <v>5400</v>
      </c>
      <c r="N118" s="205"/>
      <c r="O118" s="205"/>
      <c r="P118" s="205"/>
      <c r="Q118" s="205"/>
      <c r="R118" s="205"/>
      <c r="S118" s="205">
        <v>79</v>
      </c>
      <c r="T118" s="205"/>
      <c r="U118" s="205"/>
      <c r="V118" s="205"/>
      <c r="W118" s="205"/>
      <c r="X118" s="205"/>
      <c r="Y118" s="205"/>
      <c r="Z118" s="205"/>
      <c r="AA118" s="205"/>
      <c r="AB118" s="205">
        <v>34</v>
      </c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</row>
    <row r="119" spans="1:84" s="220" customFormat="1" ht="15.75" hidden="1">
      <c r="A119" s="214"/>
      <c r="B119" s="214"/>
      <c r="C119" s="216"/>
      <c r="D119" s="216"/>
      <c r="E119" s="213"/>
      <c r="F119" s="213"/>
      <c r="G119" s="213"/>
      <c r="H119" s="213"/>
      <c r="I119" s="213"/>
      <c r="J119" s="213"/>
      <c r="K119" s="213"/>
      <c r="L119" s="213"/>
      <c r="M119" s="205">
        <v>5500</v>
      </c>
      <c r="N119" s="205"/>
      <c r="O119" s="205"/>
      <c r="P119" s="205"/>
      <c r="Q119" s="205"/>
      <c r="R119" s="205"/>
      <c r="S119" s="205">
        <v>80</v>
      </c>
      <c r="T119" s="205"/>
      <c r="U119" s="205"/>
      <c r="V119" s="205"/>
      <c r="W119" s="205"/>
      <c r="X119" s="205"/>
      <c r="Y119" s="205"/>
      <c r="Z119" s="205"/>
      <c r="AA119" s="205"/>
      <c r="AB119" s="205">
        <v>35</v>
      </c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</row>
    <row r="120" spans="1:84" s="220" customFormat="1" ht="15.75" hidden="1">
      <c r="A120" s="214"/>
      <c r="B120" s="214"/>
      <c r="C120" s="216"/>
      <c r="D120" s="216"/>
      <c r="E120" s="213"/>
      <c r="F120" s="213"/>
      <c r="G120" s="213"/>
      <c r="H120" s="213"/>
      <c r="I120" s="213"/>
      <c r="J120" s="213"/>
      <c r="K120" s="213"/>
      <c r="L120" s="213"/>
      <c r="M120" s="205">
        <v>5600</v>
      </c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>
        <v>36</v>
      </c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</row>
    <row r="121" spans="1:84" s="220" customFormat="1" ht="15.75" hidden="1">
      <c r="A121" s="214"/>
      <c r="B121" s="214"/>
      <c r="C121" s="216"/>
      <c r="D121" s="216"/>
      <c r="E121" s="213"/>
      <c r="F121" s="213"/>
      <c r="G121" s="213"/>
      <c r="H121" s="213"/>
      <c r="I121" s="213"/>
      <c r="J121" s="213"/>
      <c r="K121" s="213"/>
      <c r="L121" s="213"/>
      <c r="M121" s="205">
        <v>5700</v>
      </c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>
        <v>37</v>
      </c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</row>
    <row r="122" spans="1:84" s="220" customFormat="1" ht="15.75" hidden="1">
      <c r="A122" s="214"/>
      <c r="B122" s="214"/>
      <c r="C122" s="216"/>
      <c r="D122" s="216"/>
      <c r="E122" s="213"/>
      <c r="F122" s="213"/>
      <c r="G122" s="213"/>
      <c r="H122" s="213"/>
      <c r="I122" s="213"/>
      <c r="J122" s="213"/>
      <c r="K122" s="213"/>
      <c r="L122" s="213"/>
      <c r="M122" s="205">
        <v>5800</v>
      </c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>
        <v>38</v>
      </c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</row>
    <row r="123" spans="1:84" s="220" customFormat="1" ht="15.75" hidden="1">
      <c r="A123" s="214"/>
      <c r="B123" s="214"/>
      <c r="C123" s="216"/>
      <c r="D123" s="216"/>
      <c r="E123" s="213"/>
      <c r="F123" s="213"/>
      <c r="G123" s="213"/>
      <c r="H123" s="213"/>
      <c r="I123" s="213"/>
      <c r="J123" s="213"/>
      <c r="K123" s="213"/>
      <c r="L123" s="213"/>
      <c r="M123" s="205">
        <v>5900</v>
      </c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>
        <v>39</v>
      </c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</row>
    <row r="124" spans="1:84" s="220" customFormat="1" ht="15.75" hidden="1">
      <c r="A124" s="214"/>
      <c r="B124" s="214"/>
      <c r="C124" s="216"/>
      <c r="D124" s="216"/>
      <c r="E124" s="213"/>
      <c r="F124" s="213"/>
      <c r="G124" s="213"/>
      <c r="H124" s="213"/>
      <c r="I124" s="213"/>
      <c r="J124" s="213"/>
      <c r="K124" s="213"/>
      <c r="L124" s="213"/>
      <c r="M124" s="205">
        <v>6000</v>
      </c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>
        <v>40</v>
      </c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</row>
    <row r="125" spans="1:84" s="220" customFormat="1" ht="15.75" hidden="1">
      <c r="A125" s="214"/>
      <c r="B125" s="214"/>
      <c r="C125" s="216"/>
      <c r="D125" s="216"/>
      <c r="E125" s="213"/>
      <c r="F125" s="213"/>
      <c r="G125" s="213"/>
      <c r="H125" s="213"/>
      <c r="I125" s="213"/>
      <c r="J125" s="213"/>
      <c r="K125" s="213"/>
      <c r="L125" s="213"/>
      <c r="M125" s="205">
        <v>6100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>
        <v>41</v>
      </c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</row>
    <row r="126" spans="1:84" s="220" customFormat="1" ht="15.75" hidden="1">
      <c r="A126" s="214"/>
      <c r="B126" s="214"/>
      <c r="C126" s="216"/>
      <c r="D126" s="216"/>
      <c r="E126" s="213"/>
      <c r="F126" s="213"/>
      <c r="G126" s="213"/>
      <c r="H126" s="213"/>
      <c r="I126" s="213"/>
      <c r="J126" s="213"/>
      <c r="K126" s="213"/>
      <c r="L126" s="213"/>
      <c r="M126" s="205">
        <v>6200</v>
      </c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>
        <v>42</v>
      </c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</row>
    <row r="127" spans="1:84" s="220" customFormat="1" ht="15.75" hidden="1">
      <c r="A127" s="214"/>
      <c r="B127" s="214"/>
      <c r="C127" s="216"/>
      <c r="D127" s="216"/>
      <c r="E127" s="213"/>
      <c r="F127" s="213"/>
      <c r="G127" s="213"/>
      <c r="H127" s="213"/>
      <c r="I127" s="213"/>
      <c r="J127" s="213"/>
      <c r="K127" s="213"/>
      <c r="L127" s="213"/>
      <c r="M127" s="205">
        <v>6300</v>
      </c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>
        <v>43</v>
      </c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</row>
    <row r="128" spans="1:84" s="220" customFormat="1" ht="15.75" hidden="1">
      <c r="A128" s="214"/>
      <c r="B128" s="214"/>
      <c r="C128" s="216"/>
      <c r="D128" s="216"/>
      <c r="E128" s="213"/>
      <c r="F128" s="213"/>
      <c r="G128" s="213"/>
      <c r="H128" s="213"/>
      <c r="I128" s="213"/>
      <c r="J128" s="213"/>
      <c r="K128" s="213"/>
      <c r="L128" s="213"/>
      <c r="M128" s="205">
        <v>6400</v>
      </c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>
        <v>44</v>
      </c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</row>
    <row r="129" spans="1:84" s="220" customFormat="1" ht="15.75" hidden="1">
      <c r="A129" s="214"/>
      <c r="B129" s="214"/>
      <c r="C129" s="216"/>
      <c r="D129" s="216"/>
      <c r="E129" s="213"/>
      <c r="F129" s="213"/>
      <c r="G129" s="213"/>
      <c r="H129" s="213"/>
      <c r="I129" s="213"/>
      <c r="J129" s="213"/>
      <c r="K129" s="213"/>
      <c r="L129" s="213"/>
      <c r="M129" s="205">
        <v>6500</v>
      </c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>
        <v>45</v>
      </c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</row>
    <row r="130" spans="1:84" s="220" customFormat="1" ht="15.75" hidden="1">
      <c r="A130" s="214"/>
      <c r="B130" s="214"/>
      <c r="C130" s="216"/>
      <c r="D130" s="216"/>
      <c r="E130" s="213"/>
      <c r="F130" s="213"/>
      <c r="G130" s="213"/>
      <c r="H130" s="213"/>
      <c r="I130" s="213"/>
      <c r="J130" s="213"/>
      <c r="K130" s="213"/>
      <c r="L130" s="213"/>
      <c r="M130" s="205">
        <v>6600</v>
      </c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>
        <v>46</v>
      </c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</row>
    <row r="131" spans="1:84" s="220" customFormat="1" ht="15.75" hidden="1">
      <c r="A131" s="214"/>
      <c r="B131" s="214"/>
      <c r="C131" s="216"/>
      <c r="D131" s="216"/>
      <c r="E131" s="213"/>
      <c r="F131" s="213"/>
      <c r="G131" s="213"/>
      <c r="H131" s="213"/>
      <c r="I131" s="213"/>
      <c r="J131" s="213"/>
      <c r="K131" s="213"/>
      <c r="L131" s="213"/>
      <c r="M131" s="205">
        <v>6700</v>
      </c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>
        <v>47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</row>
    <row r="132" spans="1:84" s="220" customFormat="1" ht="15.75" hidden="1">
      <c r="A132" s="214"/>
      <c r="B132" s="214"/>
      <c r="C132" s="216"/>
      <c r="D132" s="216"/>
      <c r="E132" s="213"/>
      <c r="F132" s="213"/>
      <c r="G132" s="213"/>
      <c r="H132" s="213"/>
      <c r="I132" s="213"/>
      <c r="J132" s="213"/>
      <c r="K132" s="213"/>
      <c r="L132" s="213"/>
      <c r="M132" s="205">
        <v>6800</v>
      </c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>
        <v>48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</row>
    <row r="133" spans="1:84" s="220" customFormat="1" ht="15.75" hidden="1">
      <c r="A133" s="214"/>
      <c r="B133" s="214"/>
      <c r="C133" s="216"/>
      <c r="D133" s="216"/>
      <c r="E133" s="213"/>
      <c r="F133" s="213"/>
      <c r="G133" s="213"/>
      <c r="H133" s="213"/>
      <c r="I133" s="213"/>
      <c r="J133" s="213"/>
      <c r="K133" s="213"/>
      <c r="L133" s="213"/>
      <c r="M133" s="205">
        <v>6900</v>
      </c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>
        <v>49</v>
      </c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</row>
    <row r="134" spans="1:84" s="220" customFormat="1" ht="15.75" hidden="1">
      <c r="A134" s="214"/>
      <c r="B134" s="214"/>
      <c r="C134" s="216"/>
      <c r="D134" s="216"/>
      <c r="E134" s="213"/>
      <c r="F134" s="213"/>
      <c r="G134" s="213"/>
      <c r="H134" s="213"/>
      <c r="I134" s="213"/>
      <c r="J134" s="213"/>
      <c r="K134" s="213"/>
      <c r="L134" s="213"/>
      <c r="M134" s="205">
        <v>7000</v>
      </c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>
        <v>50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</row>
    <row r="135" spans="1:84" s="220" customFormat="1" ht="15.75" hidden="1">
      <c r="A135" s="214"/>
      <c r="B135" s="214"/>
      <c r="C135" s="216"/>
      <c r="D135" s="216"/>
      <c r="E135" s="213"/>
      <c r="F135" s="213"/>
      <c r="G135" s="213"/>
      <c r="H135" s="213"/>
      <c r="I135" s="213"/>
      <c r="J135" s="213"/>
      <c r="K135" s="213"/>
      <c r="L135" s="213"/>
      <c r="M135" s="205">
        <v>7100</v>
      </c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>
        <v>51</v>
      </c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</row>
    <row r="136" spans="1:84" s="220" customFormat="1" ht="15.75" hidden="1">
      <c r="A136" s="214"/>
      <c r="B136" s="214"/>
      <c r="C136" s="216"/>
      <c r="D136" s="216"/>
      <c r="E136" s="213"/>
      <c r="F136" s="213"/>
      <c r="G136" s="213"/>
      <c r="H136" s="213"/>
      <c r="I136" s="213"/>
      <c r="J136" s="213"/>
      <c r="K136" s="213"/>
      <c r="L136" s="213"/>
      <c r="M136" s="205">
        <v>7200</v>
      </c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>
        <v>52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</row>
    <row r="137" spans="1:84" s="220" customFormat="1" ht="15.75" hidden="1">
      <c r="A137" s="214"/>
      <c r="B137" s="214"/>
      <c r="C137" s="216"/>
      <c r="D137" s="216"/>
      <c r="E137" s="213"/>
      <c r="F137" s="213"/>
      <c r="G137" s="213"/>
      <c r="H137" s="213"/>
      <c r="I137" s="213"/>
      <c r="J137" s="213"/>
      <c r="K137" s="213"/>
      <c r="L137" s="213"/>
      <c r="M137" s="205">
        <v>7300</v>
      </c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>
        <v>53</v>
      </c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</row>
    <row r="138" spans="1:84" s="220" customFormat="1" ht="15.75" hidden="1">
      <c r="A138" s="214"/>
      <c r="B138" s="214"/>
      <c r="C138" s="216"/>
      <c r="D138" s="216"/>
      <c r="E138" s="213"/>
      <c r="F138" s="213"/>
      <c r="G138" s="213"/>
      <c r="H138" s="213"/>
      <c r="I138" s="213"/>
      <c r="J138" s="213"/>
      <c r="K138" s="213"/>
      <c r="L138" s="213"/>
      <c r="M138" s="205">
        <v>7400</v>
      </c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>
        <v>54</v>
      </c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</row>
    <row r="139" spans="1:84" s="220" customFormat="1" ht="15.75" hidden="1">
      <c r="A139" s="214"/>
      <c r="B139" s="214"/>
      <c r="C139" s="216"/>
      <c r="D139" s="216"/>
      <c r="E139" s="213"/>
      <c r="F139" s="213"/>
      <c r="G139" s="213"/>
      <c r="H139" s="213"/>
      <c r="I139" s="213"/>
      <c r="J139" s="213"/>
      <c r="K139" s="213"/>
      <c r="L139" s="213"/>
      <c r="M139" s="205">
        <v>7500</v>
      </c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>
        <v>55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</row>
    <row r="140" spans="1:84" s="220" customFormat="1" ht="15.75" hidden="1">
      <c r="A140" s="214"/>
      <c r="B140" s="214"/>
      <c r="C140" s="216"/>
      <c r="D140" s="216"/>
      <c r="E140" s="213"/>
      <c r="F140" s="213"/>
      <c r="G140" s="213"/>
      <c r="H140" s="213"/>
      <c r="I140" s="213"/>
      <c r="J140" s="213"/>
      <c r="K140" s="213"/>
      <c r="L140" s="213"/>
      <c r="M140" s="205">
        <v>7600</v>
      </c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>
        <v>56</v>
      </c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</row>
    <row r="141" spans="1:84" s="220" customFormat="1" ht="15.75" hidden="1">
      <c r="A141" s="214"/>
      <c r="B141" s="214"/>
      <c r="C141" s="216"/>
      <c r="D141" s="216"/>
      <c r="E141" s="213"/>
      <c r="F141" s="213"/>
      <c r="G141" s="213"/>
      <c r="H141" s="213"/>
      <c r="I141" s="213"/>
      <c r="J141" s="213"/>
      <c r="K141" s="213"/>
      <c r="L141" s="213"/>
      <c r="M141" s="205">
        <v>7700</v>
      </c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>
        <v>57</v>
      </c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</row>
    <row r="142" spans="1:84" s="220" customFormat="1" ht="15.75" hidden="1">
      <c r="A142" s="214"/>
      <c r="B142" s="214"/>
      <c r="C142" s="216"/>
      <c r="D142" s="216"/>
      <c r="E142" s="213"/>
      <c r="F142" s="213"/>
      <c r="G142" s="213"/>
      <c r="H142" s="213"/>
      <c r="I142" s="213"/>
      <c r="J142" s="213"/>
      <c r="K142" s="213"/>
      <c r="L142" s="213"/>
      <c r="M142" s="205">
        <v>7800</v>
      </c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>
        <v>58</v>
      </c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</row>
    <row r="143" spans="1:84" s="220" customFormat="1" ht="15.75" hidden="1">
      <c r="A143" s="214"/>
      <c r="B143" s="214"/>
      <c r="C143" s="216"/>
      <c r="D143" s="216"/>
      <c r="E143" s="213"/>
      <c r="F143" s="213"/>
      <c r="G143" s="213"/>
      <c r="H143" s="213"/>
      <c r="I143" s="213"/>
      <c r="J143" s="213"/>
      <c r="K143" s="213"/>
      <c r="L143" s="213"/>
      <c r="M143" s="205">
        <v>7900</v>
      </c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>
        <v>59</v>
      </c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</row>
    <row r="144" spans="1:84" s="220" customFormat="1" ht="15.75" hidden="1">
      <c r="A144" s="214"/>
      <c r="B144" s="214"/>
      <c r="C144" s="216"/>
      <c r="D144" s="216"/>
      <c r="E144" s="213"/>
      <c r="F144" s="213"/>
      <c r="G144" s="213"/>
      <c r="H144" s="213"/>
      <c r="I144" s="213"/>
      <c r="J144" s="213"/>
      <c r="K144" s="213"/>
      <c r="L144" s="213"/>
      <c r="M144" s="205">
        <v>8000</v>
      </c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>
        <v>60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</row>
    <row r="145" spans="1:84" s="220" customFormat="1" ht="15.75" hidden="1">
      <c r="A145" s="214"/>
      <c r="B145" s="214"/>
      <c r="C145" s="216"/>
      <c r="D145" s="216"/>
      <c r="E145" s="213"/>
      <c r="F145" s="213"/>
      <c r="G145" s="213"/>
      <c r="H145" s="213"/>
      <c r="I145" s="213"/>
      <c r="J145" s="213"/>
      <c r="K145" s="213"/>
      <c r="L145" s="213"/>
      <c r="M145" s="205">
        <v>8100</v>
      </c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>
        <v>61</v>
      </c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</row>
    <row r="146" spans="1:84" s="220" customFormat="1" ht="15.75" hidden="1">
      <c r="A146" s="214"/>
      <c r="B146" s="214"/>
      <c r="C146" s="216"/>
      <c r="D146" s="216"/>
      <c r="E146" s="213"/>
      <c r="F146" s="213"/>
      <c r="G146" s="213"/>
      <c r="H146" s="213"/>
      <c r="I146" s="213"/>
      <c r="J146" s="213"/>
      <c r="K146" s="213"/>
      <c r="L146" s="213"/>
      <c r="M146" s="205">
        <v>8200</v>
      </c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>
        <v>62</v>
      </c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</row>
    <row r="147" spans="1:84" s="220" customFormat="1" ht="15.75" hidden="1">
      <c r="A147" s="214"/>
      <c r="B147" s="214"/>
      <c r="C147" s="216"/>
      <c r="D147" s="216"/>
      <c r="E147" s="213"/>
      <c r="F147" s="213"/>
      <c r="G147" s="213"/>
      <c r="H147" s="213"/>
      <c r="I147" s="213"/>
      <c r="J147" s="213"/>
      <c r="K147" s="213"/>
      <c r="L147" s="213"/>
      <c r="M147" s="205">
        <v>8300</v>
      </c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>
        <v>63</v>
      </c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</row>
    <row r="148" spans="1:84" s="220" customFormat="1" ht="15.75" hidden="1">
      <c r="A148" s="214"/>
      <c r="B148" s="214"/>
      <c r="C148" s="216"/>
      <c r="D148" s="216"/>
      <c r="E148" s="213"/>
      <c r="F148" s="213"/>
      <c r="G148" s="213"/>
      <c r="H148" s="213"/>
      <c r="I148" s="213"/>
      <c r="J148" s="213"/>
      <c r="K148" s="213"/>
      <c r="L148" s="213"/>
      <c r="M148" s="205">
        <v>8400</v>
      </c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>
        <v>64</v>
      </c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</row>
    <row r="149" spans="1:84" s="220" customFormat="1" ht="15.75" hidden="1">
      <c r="A149" s="214"/>
      <c r="B149" s="214"/>
      <c r="C149" s="216"/>
      <c r="D149" s="216"/>
      <c r="E149" s="213"/>
      <c r="F149" s="213"/>
      <c r="G149" s="213"/>
      <c r="H149" s="213"/>
      <c r="I149" s="213"/>
      <c r="J149" s="213"/>
      <c r="K149" s="213"/>
      <c r="L149" s="213"/>
      <c r="M149" s="205">
        <v>8500</v>
      </c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>
        <v>65</v>
      </c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</row>
    <row r="150" spans="1:84" s="220" customFormat="1" ht="15.75" hidden="1">
      <c r="A150" s="214"/>
      <c r="B150" s="214"/>
      <c r="C150" s="216"/>
      <c r="D150" s="216"/>
      <c r="E150" s="213"/>
      <c r="F150" s="213"/>
      <c r="G150" s="213"/>
      <c r="H150" s="213"/>
      <c r="I150" s="213"/>
      <c r="J150" s="213"/>
      <c r="K150" s="213"/>
      <c r="L150" s="213"/>
      <c r="M150" s="205">
        <v>8600</v>
      </c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>
        <v>66</v>
      </c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</row>
    <row r="151" spans="1:84" s="220" customFormat="1" ht="15.75" hidden="1">
      <c r="A151" s="214"/>
      <c r="B151" s="214"/>
      <c r="C151" s="216"/>
      <c r="D151" s="216"/>
      <c r="E151" s="213"/>
      <c r="F151" s="213"/>
      <c r="G151" s="213"/>
      <c r="H151" s="213"/>
      <c r="I151" s="213"/>
      <c r="J151" s="213"/>
      <c r="K151" s="213"/>
      <c r="L151" s="213"/>
      <c r="M151" s="205">
        <v>8700</v>
      </c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>
        <v>67</v>
      </c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</row>
    <row r="152" spans="1:84" s="220" customFormat="1" ht="15.75" hidden="1">
      <c r="A152" s="214"/>
      <c r="B152" s="214"/>
      <c r="C152" s="216"/>
      <c r="D152" s="216"/>
      <c r="E152" s="213"/>
      <c r="F152" s="213"/>
      <c r="G152" s="213"/>
      <c r="H152" s="213"/>
      <c r="I152" s="213"/>
      <c r="J152" s="213"/>
      <c r="K152" s="213"/>
      <c r="L152" s="213"/>
      <c r="M152" s="205">
        <v>8800</v>
      </c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>
        <v>68</v>
      </c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</row>
    <row r="153" spans="1:84" s="220" customFormat="1" ht="15.75" hidden="1">
      <c r="A153" s="214"/>
      <c r="B153" s="214"/>
      <c r="C153" s="216"/>
      <c r="D153" s="216"/>
      <c r="E153" s="213"/>
      <c r="F153" s="213"/>
      <c r="G153" s="213"/>
      <c r="H153" s="213"/>
      <c r="I153" s="213"/>
      <c r="J153" s="213"/>
      <c r="K153" s="213"/>
      <c r="L153" s="213"/>
      <c r="M153" s="205">
        <v>8900</v>
      </c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>
        <v>69</v>
      </c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</row>
    <row r="154" spans="1:84" s="220" customFormat="1" ht="15.75" hidden="1">
      <c r="A154" s="214"/>
      <c r="B154" s="214"/>
      <c r="C154" s="216"/>
      <c r="D154" s="216"/>
      <c r="E154" s="213"/>
      <c r="F154" s="213"/>
      <c r="G154" s="213"/>
      <c r="H154" s="213"/>
      <c r="I154" s="213"/>
      <c r="J154" s="213"/>
      <c r="K154" s="213"/>
      <c r="L154" s="213"/>
      <c r="M154" s="205">
        <v>9000</v>
      </c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>
        <v>70</v>
      </c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</row>
    <row r="155" spans="1:84" s="220" customFormat="1" ht="15.75" hidden="1">
      <c r="A155" s="214"/>
      <c r="B155" s="214"/>
      <c r="C155" s="216"/>
      <c r="D155" s="216"/>
      <c r="E155" s="213"/>
      <c r="F155" s="213"/>
      <c r="G155" s="213"/>
      <c r="H155" s="213"/>
      <c r="I155" s="213"/>
      <c r="J155" s="213"/>
      <c r="K155" s="213"/>
      <c r="L155" s="213"/>
      <c r="M155" s="205">
        <v>9100</v>
      </c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>
        <v>71</v>
      </c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</row>
    <row r="156" spans="1:84" s="220" customFormat="1" ht="15.75" hidden="1">
      <c r="A156" s="214"/>
      <c r="B156" s="214"/>
      <c r="C156" s="216"/>
      <c r="D156" s="216"/>
      <c r="E156" s="213"/>
      <c r="F156" s="213"/>
      <c r="G156" s="213"/>
      <c r="H156" s="213"/>
      <c r="I156" s="213"/>
      <c r="J156" s="213"/>
      <c r="K156" s="213"/>
      <c r="L156" s="213"/>
      <c r="M156" s="205">
        <v>9200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>
        <v>72</v>
      </c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</row>
    <row r="157" spans="1:84" s="220" customFormat="1" ht="15.75" hidden="1">
      <c r="A157" s="214"/>
      <c r="B157" s="214"/>
      <c r="C157" s="216"/>
      <c r="D157" s="216"/>
      <c r="E157" s="213"/>
      <c r="F157" s="213"/>
      <c r="G157" s="213"/>
      <c r="H157" s="213"/>
      <c r="I157" s="213"/>
      <c r="J157" s="213"/>
      <c r="K157" s="213"/>
      <c r="L157" s="213"/>
      <c r="M157" s="205">
        <v>9300</v>
      </c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>
        <v>73</v>
      </c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</row>
    <row r="158" spans="1:84" s="220" customFormat="1" ht="15.75" hidden="1">
      <c r="A158" s="214"/>
      <c r="B158" s="214"/>
      <c r="C158" s="216"/>
      <c r="D158" s="216"/>
      <c r="E158" s="213"/>
      <c r="F158" s="213"/>
      <c r="G158" s="213"/>
      <c r="H158" s="213"/>
      <c r="I158" s="213"/>
      <c r="J158" s="213"/>
      <c r="K158" s="213"/>
      <c r="L158" s="213"/>
      <c r="M158" s="205">
        <v>9400</v>
      </c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>
        <v>74</v>
      </c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</row>
    <row r="159" spans="1:84" s="220" customFormat="1" ht="15.75" hidden="1">
      <c r="A159" s="214"/>
      <c r="B159" s="214"/>
      <c r="C159" s="216"/>
      <c r="D159" s="216"/>
      <c r="E159" s="213"/>
      <c r="F159" s="213"/>
      <c r="G159" s="213"/>
      <c r="H159" s="213"/>
      <c r="I159" s="213"/>
      <c r="J159" s="213"/>
      <c r="K159" s="213"/>
      <c r="L159" s="213"/>
      <c r="M159" s="205">
        <v>9500</v>
      </c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>
        <v>75</v>
      </c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</row>
    <row r="160" spans="1:84" s="220" customFormat="1" ht="15.75" hidden="1">
      <c r="A160" s="214"/>
      <c r="B160" s="214"/>
      <c r="C160" s="216"/>
      <c r="D160" s="216"/>
      <c r="E160" s="213"/>
      <c r="F160" s="213"/>
      <c r="G160" s="213"/>
      <c r="H160" s="213"/>
      <c r="I160" s="213"/>
      <c r="J160" s="213"/>
      <c r="K160" s="213"/>
      <c r="L160" s="213"/>
      <c r="M160" s="205">
        <v>9600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>
        <v>76</v>
      </c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</row>
    <row r="161" spans="1:84" s="220" customFormat="1" ht="15.75" hidden="1">
      <c r="A161" s="214"/>
      <c r="B161" s="214"/>
      <c r="C161" s="216"/>
      <c r="D161" s="216"/>
      <c r="E161" s="213"/>
      <c r="F161" s="213"/>
      <c r="G161" s="213"/>
      <c r="H161" s="213"/>
      <c r="I161" s="213"/>
      <c r="J161" s="213"/>
      <c r="K161" s="213"/>
      <c r="L161" s="213"/>
      <c r="M161" s="205">
        <v>9700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>
        <v>77</v>
      </c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</row>
    <row r="162" spans="1:84" s="220" customFormat="1" ht="15.75" hidden="1">
      <c r="A162" s="214"/>
      <c r="B162" s="214"/>
      <c r="C162" s="216"/>
      <c r="D162" s="216"/>
      <c r="E162" s="213"/>
      <c r="F162" s="213"/>
      <c r="G162" s="213"/>
      <c r="H162" s="213"/>
      <c r="I162" s="213"/>
      <c r="J162" s="213"/>
      <c r="K162" s="213"/>
      <c r="L162" s="213"/>
      <c r="M162" s="205">
        <v>9800</v>
      </c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>
        <v>78</v>
      </c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</row>
    <row r="163" spans="1:84" s="220" customFormat="1" ht="15.75" hidden="1">
      <c r="A163" s="214"/>
      <c r="B163" s="214"/>
      <c r="C163" s="216"/>
      <c r="D163" s="216"/>
      <c r="E163" s="213"/>
      <c r="F163" s="213"/>
      <c r="G163" s="213"/>
      <c r="H163" s="213"/>
      <c r="I163" s="213"/>
      <c r="J163" s="213"/>
      <c r="K163" s="213"/>
      <c r="L163" s="213"/>
      <c r="M163" s="205">
        <v>9900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>
        <v>79</v>
      </c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</row>
    <row r="164" spans="1:84" s="220" customFormat="1" ht="15.75" hidden="1">
      <c r="A164" s="214"/>
      <c r="B164" s="214"/>
      <c r="C164" s="216"/>
      <c r="D164" s="216"/>
      <c r="E164" s="213"/>
      <c r="F164" s="213"/>
      <c r="G164" s="213"/>
      <c r="H164" s="213"/>
      <c r="I164" s="213"/>
      <c r="J164" s="213"/>
      <c r="K164" s="213"/>
      <c r="L164" s="213"/>
      <c r="M164" s="205">
        <v>10000</v>
      </c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>
        <v>80</v>
      </c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</row>
    <row r="165" spans="1:84" s="220" customFormat="1" ht="15.75" hidden="1">
      <c r="A165" s="214"/>
      <c r="B165" s="214"/>
      <c r="C165" s="216"/>
      <c r="D165" s="216"/>
      <c r="E165" s="213"/>
      <c r="F165" s="213"/>
      <c r="G165" s="213"/>
      <c r="H165" s="213"/>
      <c r="I165" s="213"/>
      <c r="J165" s="213"/>
      <c r="K165" s="213"/>
      <c r="L165" s="213"/>
      <c r="M165" s="205">
        <v>10100</v>
      </c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>
        <v>81</v>
      </c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</row>
    <row r="166" spans="1:84" s="220" customFormat="1" ht="15.75" hidden="1">
      <c r="A166" s="214"/>
      <c r="B166" s="214"/>
      <c r="C166" s="216"/>
      <c r="D166" s="216"/>
      <c r="E166" s="213"/>
      <c r="F166" s="213"/>
      <c r="G166" s="213"/>
      <c r="H166" s="213"/>
      <c r="I166" s="213"/>
      <c r="J166" s="213"/>
      <c r="K166" s="213"/>
      <c r="L166" s="213"/>
      <c r="M166" s="205">
        <v>10200</v>
      </c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>
        <v>82</v>
      </c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</row>
    <row r="167" spans="1:84" s="220" customFormat="1" ht="15.75" hidden="1">
      <c r="A167" s="214"/>
      <c r="B167" s="214"/>
      <c r="C167" s="216"/>
      <c r="D167" s="216"/>
      <c r="E167" s="213"/>
      <c r="F167" s="213"/>
      <c r="G167" s="213"/>
      <c r="H167" s="213"/>
      <c r="I167" s="213"/>
      <c r="J167" s="213"/>
      <c r="K167" s="213"/>
      <c r="L167" s="213"/>
      <c r="M167" s="205">
        <v>10300</v>
      </c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>
        <v>83</v>
      </c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</row>
    <row r="168" spans="1:84" s="220" customFormat="1" ht="15.75" hidden="1">
      <c r="A168" s="214"/>
      <c r="B168" s="214"/>
      <c r="C168" s="216"/>
      <c r="D168" s="216"/>
      <c r="E168" s="213"/>
      <c r="F168" s="213"/>
      <c r="G168" s="213"/>
      <c r="H168" s="213"/>
      <c r="I168" s="213"/>
      <c r="J168" s="213"/>
      <c r="K168" s="213"/>
      <c r="L168" s="213"/>
      <c r="M168" s="205">
        <v>10400</v>
      </c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>
        <v>84</v>
      </c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</row>
    <row r="169" spans="1:84" s="220" customFormat="1" ht="15.75" hidden="1">
      <c r="A169" s="214"/>
      <c r="B169" s="214"/>
      <c r="C169" s="216"/>
      <c r="D169" s="216"/>
      <c r="E169" s="213"/>
      <c r="F169" s="213"/>
      <c r="G169" s="213"/>
      <c r="H169" s="213"/>
      <c r="I169" s="213"/>
      <c r="J169" s="213"/>
      <c r="K169" s="213"/>
      <c r="L169" s="213"/>
      <c r="M169" s="205">
        <v>10500</v>
      </c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>
        <v>85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</row>
    <row r="170" spans="1:84" s="220" customFormat="1" ht="15.75" hidden="1">
      <c r="A170" s="214"/>
      <c r="B170" s="214"/>
      <c r="C170" s="216"/>
      <c r="D170" s="216"/>
      <c r="E170" s="213"/>
      <c r="F170" s="213"/>
      <c r="G170" s="213"/>
      <c r="H170" s="213"/>
      <c r="I170" s="213"/>
      <c r="J170" s="213"/>
      <c r="K170" s="213"/>
      <c r="L170" s="213"/>
      <c r="M170" s="205">
        <v>10600</v>
      </c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>
        <v>86</v>
      </c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</row>
    <row r="171" spans="1:84" s="220" customFormat="1" ht="15.75" hidden="1">
      <c r="A171" s="214"/>
      <c r="B171" s="214"/>
      <c r="C171" s="216"/>
      <c r="D171" s="216"/>
      <c r="E171" s="213"/>
      <c r="F171" s="213"/>
      <c r="G171" s="213"/>
      <c r="H171" s="213"/>
      <c r="I171" s="213"/>
      <c r="J171" s="213"/>
      <c r="K171" s="213"/>
      <c r="L171" s="213"/>
      <c r="M171" s="205">
        <v>10700</v>
      </c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>
        <v>87</v>
      </c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</row>
    <row r="172" spans="1:84" s="220" customFormat="1" ht="15.75" hidden="1">
      <c r="A172" s="214"/>
      <c r="B172" s="214"/>
      <c r="C172" s="216"/>
      <c r="D172" s="216"/>
      <c r="E172" s="213"/>
      <c r="F172" s="213"/>
      <c r="G172" s="213"/>
      <c r="H172" s="213"/>
      <c r="I172" s="213"/>
      <c r="J172" s="213"/>
      <c r="K172" s="213"/>
      <c r="L172" s="213"/>
      <c r="M172" s="205">
        <v>10800</v>
      </c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>
        <v>88</v>
      </c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</row>
    <row r="173" spans="1:84" s="220" customFormat="1" ht="15.75" hidden="1">
      <c r="A173" s="214"/>
      <c r="B173" s="214"/>
      <c r="C173" s="216"/>
      <c r="D173" s="216"/>
      <c r="E173" s="213"/>
      <c r="F173" s="213"/>
      <c r="G173" s="213"/>
      <c r="H173" s="213"/>
      <c r="I173" s="213"/>
      <c r="J173" s="213"/>
      <c r="K173" s="213"/>
      <c r="L173" s="213"/>
      <c r="M173" s="205">
        <v>10900</v>
      </c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>
        <v>89</v>
      </c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</row>
    <row r="174" spans="1:84" s="220" customFormat="1" ht="15.75" hidden="1">
      <c r="A174" s="214"/>
      <c r="B174" s="214"/>
      <c r="C174" s="216"/>
      <c r="D174" s="216"/>
      <c r="E174" s="213"/>
      <c r="F174" s="213"/>
      <c r="G174" s="213"/>
      <c r="H174" s="213"/>
      <c r="I174" s="213"/>
      <c r="J174" s="213"/>
      <c r="K174" s="213"/>
      <c r="L174" s="213"/>
      <c r="M174" s="205">
        <v>11000</v>
      </c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>
        <v>90</v>
      </c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</row>
    <row r="175" spans="1:84" s="220" customFormat="1" ht="15.75" hidden="1">
      <c r="A175" s="214"/>
      <c r="B175" s="214"/>
      <c r="C175" s="216"/>
      <c r="D175" s="216"/>
      <c r="E175" s="213"/>
      <c r="F175" s="213"/>
      <c r="G175" s="213"/>
      <c r="H175" s="213"/>
      <c r="I175" s="213"/>
      <c r="J175" s="213"/>
      <c r="K175" s="213"/>
      <c r="L175" s="213"/>
      <c r="M175" s="205">
        <v>11100</v>
      </c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>
        <v>91</v>
      </c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</row>
    <row r="176" spans="1:84" s="220" customFormat="1" ht="15.75" hidden="1">
      <c r="A176" s="214"/>
      <c r="B176" s="214"/>
      <c r="C176" s="216"/>
      <c r="D176" s="216"/>
      <c r="E176" s="213"/>
      <c r="F176" s="213"/>
      <c r="G176" s="213"/>
      <c r="H176" s="213"/>
      <c r="I176" s="213"/>
      <c r="J176" s="213"/>
      <c r="K176" s="213"/>
      <c r="L176" s="213"/>
      <c r="M176" s="205">
        <v>11200</v>
      </c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>
        <v>92</v>
      </c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</row>
    <row r="177" spans="1:84" s="220" customFormat="1" ht="15.75" hidden="1">
      <c r="A177" s="214"/>
      <c r="B177" s="214"/>
      <c r="C177" s="216"/>
      <c r="D177" s="216"/>
      <c r="E177" s="213"/>
      <c r="F177" s="213"/>
      <c r="G177" s="213"/>
      <c r="H177" s="213"/>
      <c r="I177" s="213"/>
      <c r="J177" s="213"/>
      <c r="K177" s="213"/>
      <c r="L177" s="213"/>
      <c r="M177" s="205">
        <v>11300</v>
      </c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>
        <v>93</v>
      </c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</row>
    <row r="178" spans="1:84" s="220" customFormat="1" ht="15.75" hidden="1">
      <c r="A178" s="214"/>
      <c r="B178" s="214"/>
      <c r="C178" s="216"/>
      <c r="D178" s="216"/>
      <c r="E178" s="213"/>
      <c r="F178" s="213"/>
      <c r="G178" s="213"/>
      <c r="H178" s="213"/>
      <c r="I178" s="213"/>
      <c r="J178" s="213"/>
      <c r="K178" s="213"/>
      <c r="L178" s="213"/>
      <c r="M178" s="205">
        <v>11400</v>
      </c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>
        <v>94</v>
      </c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</row>
    <row r="179" spans="1:84" s="220" customFormat="1" ht="15.75" hidden="1">
      <c r="A179" s="214"/>
      <c r="B179" s="214"/>
      <c r="C179" s="216"/>
      <c r="D179" s="216"/>
      <c r="E179" s="213"/>
      <c r="F179" s="213"/>
      <c r="G179" s="213"/>
      <c r="H179" s="213"/>
      <c r="I179" s="213"/>
      <c r="J179" s="213"/>
      <c r="K179" s="213"/>
      <c r="L179" s="213"/>
      <c r="M179" s="205">
        <v>11500</v>
      </c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>
        <v>95</v>
      </c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</row>
    <row r="180" spans="1:84" s="220" customFormat="1" ht="15.75" hidden="1">
      <c r="A180" s="214"/>
      <c r="B180" s="214"/>
      <c r="C180" s="216"/>
      <c r="D180" s="216"/>
      <c r="E180" s="213"/>
      <c r="F180" s="213"/>
      <c r="G180" s="213"/>
      <c r="H180" s="213"/>
      <c r="I180" s="213"/>
      <c r="J180" s="213"/>
      <c r="K180" s="213"/>
      <c r="L180" s="213"/>
      <c r="M180" s="205">
        <v>11600</v>
      </c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>
        <v>96</v>
      </c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</row>
    <row r="181" spans="1:84" s="220" customFormat="1" ht="15.75" hidden="1">
      <c r="A181" s="214"/>
      <c r="B181" s="214"/>
      <c r="C181" s="216"/>
      <c r="D181" s="216"/>
      <c r="E181" s="213"/>
      <c r="F181" s="213"/>
      <c r="G181" s="213"/>
      <c r="H181" s="213"/>
      <c r="I181" s="213"/>
      <c r="J181" s="213"/>
      <c r="K181" s="213"/>
      <c r="L181" s="213"/>
      <c r="M181" s="205">
        <v>11700</v>
      </c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>
        <v>97</v>
      </c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</row>
    <row r="182" spans="1:84" s="220" customFormat="1" ht="15.75" hidden="1">
      <c r="A182" s="214"/>
      <c r="B182" s="214"/>
      <c r="C182" s="216"/>
      <c r="D182" s="216"/>
      <c r="E182" s="213"/>
      <c r="F182" s="213"/>
      <c r="G182" s="213"/>
      <c r="H182" s="213"/>
      <c r="I182" s="213"/>
      <c r="J182" s="213"/>
      <c r="K182" s="213"/>
      <c r="L182" s="213"/>
      <c r="M182" s="205">
        <v>11800</v>
      </c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>
        <v>98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</row>
    <row r="183" spans="1:84" s="220" customFormat="1" ht="15.75" hidden="1">
      <c r="A183" s="214"/>
      <c r="B183" s="214"/>
      <c r="C183" s="216"/>
      <c r="D183" s="216"/>
      <c r="E183" s="213"/>
      <c r="F183" s="213"/>
      <c r="G183" s="213"/>
      <c r="H183" s="213"/>
      <c r="I183" s="213"/>
      <c r="J183" s="213"/>
      <c r="K183" s="213"/>
      <c r="L183" s="213"/>
      <c r="M183" s="205">
        <v>11900</v>
      </c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>
        <v>99</v>
      </c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</row>
    <row r="184" spans="1:84" s="220" customFormat="1" ht="15.75" hidden="1">
      <c r="A184" s="214"/>
      <c r="B184" s="214"/>
      <c r="C184" s="216"/>
      <c r="D184" s="216"/>
      <c r="E184" s="213"/>
      <c r="F184" s="213"/>
      <c r="G184" s="213"/>
      <c r="H184" s="213"/>
      <c r="I184" s="213"/>
      <c r="J184" s="213"/>
      <c r="K184" s="213"/>
      <c r="L184" s="213"/>
      <c r="M184" s="205">
        <v>12000</v>
      </c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>
        <v>100</v>
      </c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</row>
    <row r="185" spans="1:84" s="220" customFormat="1" ht="15.75" hidden="1">
      <c r="A185" s="214"/>
      <c r="B185" s="214"/>
      <c r="C185" s="216"/>
      <c r="D185" s="216"/>
      <c r="E185" s="213"/>
      <c r="F185" s="213"/>
      <c r="G185" s="213"/>
      <c r="H185" s="213"/>
      <c r="I185" s="213"/>
      <c r="J185" s="213"/>
      <c r="K185" s="213"/>
      <c r="L185" s="213"/>
      <c r="M185" s="205">
        <v>12100</v>
      </c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</row>
    <row r="186" spans="1:84" s="220" customFormat="1" ht="15.75" hidden="1">
      <c r="A186" s="214"/>
      <c r="B186" s="214"/>
      <c r="C186" s="216"/>
      <c r="D186" s="216"/>
      <c r="E186" s="213"/>
      <c r="F186" s="213"/>
      <c r="G186" s="213"/>
      <c r="H186" s="213"/>
      <c r="I186" s="213"/>
      <c r="J186" s="213"/>
      <c r="K186" s="213"/>
      <c r="L186" s="213"/>
      <c r="M186" s="205">
        <v>12200</v>
      </c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</row>
    <row r="187" spans="1:84" s="220" customFormat="1" ht="15.75" hidden="1">
      <c r="A187" s="214"/>
      <c r="B187" s="214"/>
      <c r="C187" s="216"/>
      <c r="D187" s="216"/>
      <c r="E187" s="213"/>
      <c r="F187" s="213"/>
      <c r="G187" s="213"/>
      <c r="H187" s="213"/>
      <c r="I187" s="213"/>
      <c r="J187" s="213"/>
      <c r="K187" s="213"/>
      <c r="L187" s="213"/>
      <c r="M187" s="205">
        <v>12300</v>
      </c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</row>
    <row r="188" spans="1:84" s="220" customFormat="1" ht="15.75" hidden="1">
      <c r="A188" s="214"/>
      <c r="B188" s="214"/>
      <c r="C188" s="216"/>
      <c r="D188" s="216"/>
      <c r="E188" s="213"/>
      <c r="F188" s="213"/>
      <c r="G188" s="213"/>
      <c r="H188" s="213"/>
      <c r="I188" s="213"/>
      <c r="J188" s="213"/>
      <c r="K188" s="213"/>
      <c r="L188" s="213"/>
      <c r="M188" s="205">
        <v>12400</v>
      </c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</row>
    <row r="189" spans="1:84" s="220" customFormat="1" ht="15.75" hidden="1">
      <c r="A189" s="214"/>
      <c r="B189" s="214"/>
      <c r="C189" s="216"/>
      <c r="D189" s="216"/>
      <c r="E189" s="213"/>
      <c r="F189" s="213"/>
      <c r="G189" s="213"/>
      <c r="H189" s="213"/>
      <c r="I189" s="213"/>
      <c r="J189" s="213"/>
      <c r="K189" s="213"/>
      <c r="L189" s="213"/>
      <c r="M189" s="205">
        <v>12500</v>
      </c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</row>
    <row r="190" spans="1:84" s="220" customFormat="1" ht="15.75" hidden="1">
      <c r="A190" s="214"/>
      <c r="B190" s="214"/>
      <c r="C190" s="216"/>
      <c r="D190" s="216"/>
      <c r="E190" s="213"/>
      <c r="F190" s="213"/>
      <c r="G190" s="213"/>
      <c r="H190" s="213"/>
      <c r="I190" s="213"/>
      <c r="J190" s="213"/>
      <c r="K190" s="213"/>
      <c r="L190" s="213"/>
      <c r="M190" s="205">
        <v>12600</v>
      </c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</row>
    <row r="191" spans="1:84" s="220" customFormat="1" ht="15.75" hidden="1">
      <c r="A191" s="214"/>
      <c r="B191" s="214"/>
      <c r="C191" s="216"/>
      <c r="D191" s="216"/>
      <c r="E191" s="213"/>
      <c r="F191" s="213"/>
      <c r="G191" s="213"/>
      <c r="H191" s="213"/>
      <c r="I191" s="213"/>
      <c r="J191" s="213"/>
      <c r="K191" s="213"/>
      <c r="L191" s="213"/>
      <c r="M191" s="205">
        <v>12700</v>
      </c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</row>
    <row r="192" spans="1:84" s="220" customFormat="1" ht="15.75" hidden="1">
      <c r="A192" s="214"/>
      <c r="B192" s="214"/>
      <c r="C192" s="216"/>
      <c r="D192" s="216"/>
      <c r="E192" s="213"/>
      <c r="F192" s="213"/>
      <c r="G192" s="213"/>
      <c r="H192" s="213"/>
      <c r="I192" s="213"/>
      <c r="J192" s="213"/>
      <c r="K192" s="213"/>
      <c r="L192" s="213"/>
      <c r="M192" s="205">
        <v>12800</v>
      </c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</row>
    <row r="193" spans="1:84" s="220" customFormat="1" ht="15.75" hidden="1">
      <c r="A193" s="214"/>
      <c r="B193" s="214"/>
      <c r="C193" s="216"/>
      <c r="D193" s="216"/>
      <c r="E193" s="213"/>
      <c r="F193" s="213"/>
      <c r="G193" s="213"/>
      <c r="H193" s="213"/>
      <c r="I193" s="213"/>
      <c r="J193" s="213"/>
      <c r="K193" s="213"/>
      <c r="L193" s="213"/>
      <c r="M193" s="205">
        <v>12900</v>
      </c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</row>
    <row r="194" spans="1:84" s="220" customFormat="1" ht="15.75" hidden="1">
      <c r="A194" s="214"/>
      <c r="B194" s="214"/>
      <c r="C194" s="216"/>
      <c r="D194" s="216"/>
      <c r="E194" s="213"/>
      <c r="F194" s="213"/>
      <c r="G194" s="213"/>
      <c r="H194" s="213"/>
      <c r="I194" s="213"/>
      <c r="J194" s="213"/>
      <c r="K194" s="213"/>
      <c r="L194" s="213"/>
      <c r="M194" s="205">
        <v>13000</v>
      </c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</row>
    <row r="195" spans="1:84" s="220" customFormat="1" ht="15.75" hidden="1">
      <c r="A195" s="214"/>
      <c r="B195" s="214"/>
      <c r="C195" s="216"/>
      <c r="D195" s="216"/>
      <c r="E195" s="213"/>
      <c r="F195" s="213"/>
      <c r="G195" s="213"/>
      <c r="H195" s="213"/>
      <c r="I195" s="213"/>
      <c r="J195" s="213"/>
      <c r="K195" s="213"/>
      <c r="L195" s="213"/>
      <c r="M195" s="205">
        <v>13100</v>
      </c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</row>
    <row r="196" spans="1:84" s="220" customFormat="1" ht="15.75" hidden="1">
      <c r="A196" s="214"/>
      <c r="B196" s="214"/>
      <c r="C196" s="216"/>
      <c r="D196" s="216"/>
      <c r="E196" s="213"/>
      <c r="F196" s="213"/>
      <c r="G196" s="213"/>
      <c r="H196" s="213"/>
      <c r="I196" s="213"/>
      <c r="J196" s="213"/>
      <c r="K196" s="213"/>
      <c r="L196" s="213"/>
      <c r="M196" s="205">
        <v>13200</v>
      </c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</row>
    <row r="197" spans="1:84" s="220" customFormat="1" ht="15.75" hidden="1">
      <c r="A197" s="214"/>
      <c r="B197" s="214"/>
      <c r="C197" s="216"/>
      <c r="D197" s="216"/>
      <c r="E197" s="213"/>
      <c r="F197" s="213"/>
      <c r="G197" s="213"/>
      <c r="H197" s="213"/>
      <c r="I197" s="213"/>
      <c r="J197" s="213"/>
      <c r="K197" s="213"/>
      <c r="L197" s="213"/>
      <c r="M197" s="205">
        <v>13300</v>
      </c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</row>
    <row r="198" spans="1:84" s="220" customFormat="1" ht="15.75" hidden="1">
      <c r="A198" s="214"/>
      <c r="B198" s="214"/>
      <c r="C198" s="216"/>
      <c r="D198" s="216"/>
      <c r="E198" s="213"/>
      <c r="F198" s="213"/>
      <c r="G198" s="213"/>
      <c r="H198" s="213"/>
      <c r="I198" s="213"/>
      <c r="J198" s="213"/>
      <c r="K198" s="213"/>
      <c r="L198" s="213"/>
      <c r="M198" s="205">
        <v>13400</v>
      </c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</row>
    <row r="199" spans="1:84" s="220" customFormat="1" ht="15.75" hidden="1">
      <c r="A199" s="214"/>
      <c r="B199" s="214"/>
      <c r="C199" s="216"/>
      <c r="D199" s="216"/>
      <c r="E199" s="213"/>
      <c r="F199" s="213"/>
      <c r="G199" s="213"/>
      <c r="H199" s="213"/>
      <c r="I199" s="213"/>
      <c r="J199" s="213"/>
      <c r="K199" s="213"/>
      <c r="L199" s="213"/>
      <c r="M199" s="205">
        <v>13500</v>
      </c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</row>
    <row r="200" spans="1:84" s="220" customFormat="1" ht="15.75" hidden="1">
      <c r="A200" s="214"/>
      <c r="B200" s="214"/>
      <c r="C200" s="216"/>
      <c r="D200" s="216"/>
      <c r="E200" s="213"/>
      <c r="F200" s="213"/>
      <c r="G200" s="213"/>
      <c r="H200" s="213"/>
      <c r="I200" s="213"/>
      <c r="J200" s="213"/>
      <c r="K200" s="213"/>
      <c r="L200" s="213"/>
      <c r="M200" s="205">
        <v>13600</v>
      </c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</row>
    <row r="201" spans="1:84" s="220" customFormat="1" ht="15.75" hidden="1">
      <c r="A201" s="214"/>
      <c r="B201" s="214"/>
      <c r="C201" s="216"/>
      <c r="D201" s="216"/>
      <c r="E201" s="213"/>
      <c r="F201" s="213"/>
      <c r="G201" s="213"/>
      <c r="H201" s="213"/>
      <c r="I201" s="213"/>
      <c r="J201" s="213"/>
      <c r="K201" s="213"/>
      <c r="L201" s="213"/>
      <c r="M201" s="205">
        <v>13700</v>
      </c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</row>
    <row r="202" spans="1:84" s="220" customFormat="1" ht="15.75" hidden="1">
      <c r="A202" s="214"/>
      <c r="B202" s="214"/>
      <c r="C202" s="216"/>
      <c r="D202" s="216"/>
      <c r="E202" s="213"/>
      <c r="F202" s="213"/>
      <c r="G202" s="213"/>
      <c r="H202" s="213"/>
      <c r="I202" s="213"/>
      <c r="J202" s="213"/>
      <c r="K202" s="213"/>
      <c r="L202" s="213"/>
      <c r="M202" s="205">
        <v>13800</v>
      </c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</row>
    <row r="203" spans="1:84" s="220" customFormat="1" ht="15.75" hidden="1">
      <c r="A203" s="214"/>
      <c r="B203" s="214"/>
      <c r="C203" s="216"/>
      <c r="D203" s="216"/>
      <c r="E203" s="213"/>
      <c r="F203" s="213"/>
      <c r="G203" s="213"/>
      <c r="H203" s="213"/>
      <c r="I203" s="213"/>
      <c r="J203" s="213"/>
      <c r="K203" s="213"/>
      <c r="L203" s="213"/>
      <c r="M203" s="205">
        <v>13900</v>
      </c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</row>
    <row r="204" spans="1:84" s="220" customFormat="1" ht="15.75" hidden="1">
      <c r="A204" s="214"/>
      <c r="B204" s="214"/>
      <c r="C204" s="216"/>
      <c r="D204" s="216"/>
      <c r="E204" s="213"/>
      <c r="F204" s="213"/>
      <c r="G204" s="213"/>
      <c r="H204" s="213"/>
      <c r="I204" s="213"/>
      <c r="J204" s="213"/>
      <c r="K204" s="213"/>
      <c r="L204" s="213"/>
      <c r="M204" s="205">
        <v>14000</v>
      </c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</row>
    <row r="205" spans="1:84" s="220" customFormat="1" ht="15.75" hidden="1">
      <c r="A205" s="214"/>
      <c r="B205" s="214"/>
      <c r="C205" s="216"/>
      <c r="D205" s="216"/>
      <c r="E205" s="213"/>
      <c r="F205" s="213"/>
      <c r="G205" s="213"/>
      <c r="H205" s="213"/>
      <c r="I205" s="213"/>
      <c r="J205" s="213"/>
      <c r="K205" s="213"/>
      <c r="L205" s="213"/>
      <c r="M205" s="205">
        <v>14100</v>
      </c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</row>
    <row r="206" spans="1:84" s="220" customFormat="1" ht="15.75" hidden="1">
      <c r="A206" s="214"/>
      <c r="B206" s="214"/>
      <c r="C206" s="216"/>
      <c r="D206" s="216"/>
      <c r="E206" s="213"/>
      <c r="F206" s="213"/>
      <c r="G206" s="213"/>
      <c r="H206" s="213"/>
      <c r="I206" s="213"/>
      <c r="J206" s="213"/>
      <c r="K206" s="213"/>
      <c r="L206" s="213"/>
      <c r="M206" s="205">
        <v>14200</v>
      </c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</row>
    <row r="207" spans="1:84" s="220" customFormat="1" ht="15.75" hidden="1">
      <c r="A207" s="214"/>
      <c r="B207" s="214"/>
      <c r="C207" s="216"/>
      <c r="D207" s="216"/>
      <c r="E207" s="213"/>
      <c r="F207" s="213"/>
      <c r="G207" s="213"/>
      <c r="H207" s="213"/>
      <c r="I207" s="213"/>
      <c r="J207" s="213"/>
      <c r="K207" s="213"/>
      <c r="L207" s="213"/>
      <c r="M207" s="205">
        <v>14300</v>
      </c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</row>
    <row r="208" spans="1:84" s="220" customFormat="1" ht="15.75" hidden="1">
      <c r="A208" s="214"/>
      <c r="B208" s="214"/>
      <c r="C208" s="216"/>
      <c r="D208" s="216"/>
      <c r="E208" s="213"/>
      <c r="F208" s="213"/>
      <c r="G208" s="213"/>
      <c r="H208" s="213"/>
      <c r="I208" s="213"/>
      <c r="J208" s="213"/>
      <c r="K208" s="213"/>
      <c r="L208" s="213"/>
      <c r="M208" s="205">
        <v>14400</v>
      </c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</row>
    <row r="209" spans="1:84" s="220" customFormat="1" ht="15.75" hidden="1">
      <c r="A209" s="214"/>
      <c r="B209" s="214"/>
      <c r="C209" s="216"/>
      <c r="D209" s="216"/>
      <c r="E209" s="213"/>
      <c r="F209" s="213"/>
      <c r="G209" s="213"/>
      <c r="H209" s="213"/>
      <c r="I209" s="213"/>
      <c r="J209" s="213"/>
      <c r="K209" s="213"/>
      <c r="L209" s="213"/>
      <c r="M209" s="205">
        <v>14500</v>
      </c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</row>
    <row r="210" spans="1:84" s="220" customFormat="1" ht="15.75" hidden="1">
      <c r="A210" s="214"/>
      <c r="B210" s="214"/>
      <c r="C210" s="216"/>
      <c r="D210" s="216"/>
      <c r="E210" s="213"/>
      <c r="F210" s="213"/>
      <c r="G210" s="213"/>
      <c r="H210" s="213"/>
      <c r="I210" s="213"/>
      <c r="J210" s="213"/>
      <c r="K210" s="213"/>
      <c r="L210" s="213"/>
      <c r="M210" s="205">
        <v>14600</v>
      </c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</row>
    <row r="211" spans="1:84" s="220" customFormat="1" ht="15.75" hidden="1">
      <c r="A211" s="214"/>
      <c r="B211" s="214"/>
      <c r="C211" s="216"/>
      <c r="D211" s="216"/>
      <c r="E211" s="213"/>
      <c r="F211" s="213"/>
      <c r="G211" s="213"/>
      <c r="H211" s="213"/>
      <c r="I211" s="213"/>
      <c r="J211" s="213"/>
      <c r="K211" s="213"/>
      <c r="L211" s="213"/>
      <c r="M211" s="205">
        <v>14700</v>
      </c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</row>
    <row r="212" spans="1:84" s="220" customFormat="1" ht="15.75" hidden="1">
      <c r="A212" s="214"/>
      <c r="B212" s="214"/>
      <c r="C212" s="216"/>
      <c r="D212" s="216"/>
      <c r="E212" s="213"/>
      <c r="F212" s="213"/>
      <c r="G212" s="213"/>
      <c r="H212" s="213"/>
      <c r="I212" s="213"/>
      <c r="J212" s="213"/>
      <c r="K212" s="213"/>
      <c r="L212" s="213"/>
      <c r="M212" s="205">
        <v>14800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</row>
    <row r="213" spans="1:84" s="220" customFormat="1" ht="15.75" hidden="1">
      <c r="A213" s="214"/>
      <c r="B213" s="214"/>
      <c r="C213" s="216"/>
      <c r="D213" s="216"/>
      <c r="E213" s="213"/>
      <c r="F213" s="213"/>
      <c r="G213" s="213"/>
      <c r="H213" s="213"/>
      <c r="I213" s="213"/>
      <c r="J213" s="213"/>
      <c r="K213" s="213"/>
      <c r="L213" s="213"/>
      <c r="M213" s="205">
        <v>14900</v>
      </c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</row>
    <row r="214" spans="1:84" s="220" customFormat="1" ht="15.75" hidden="1">
      <c r="A214" s="214"/>
      <c r="B214" s="214"/>
      <c r="C214" s="216"/>
      <c r="D214" s="216"/>
      <c r="E214" s="213"/>
      <c r="F214" s="213"/>
      <c r="G214" s="213"/>
      <c r="H214" s="213"/>
      <c r="I214" s="213"/>
      <c r="J214" s="213"/>
      <c r="K214" s="213"/>
      <c r="L214" s="213"/>
      <c r="M214" s="205">
        <v>15000</v>
      </c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</row>
    <row r="215" spans="1:84" s="220" customFormat="1" ht="15.75" hidden="1">
      <c r="A215" s="214"/>
      <c r="B215" s="214"/>
      <c r="C215" s="216"/>
      <c r="D215" s="216"/>
      <c r="E215" s="213"/>
      <c r="F215" s="213"/>
      <c r="G215" s="213"/>
      <c r="H215" s="213"/>
      <c r="I215" s="213"/>
      <c r="J215" s="213"/>
      <c r="K215" s="213"/>
      <c r="L215" s="213"/>
      <c r="M215" s="205">
        <v>15100</v>
      </c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</row>
    <row r="216" spans="1:84" s="220" customFormat="1" ht="15.75" hidden="1">
      <c r="A216" s="214"/>
      <c r="B216" s="214"/>
      <c r="C216" s="216"/>
      <c r="D216" s="216"/>
      <c r="E216" s="213"/>
      <c r="F216" s="213"/>
      <c r="G216" s="213"/>
      <c r="H216" s="213"/>
      <c r="I216" s="213"/>
      <c r="J216" s="213"/>
      <c r="K216" s="213"/>
      <c r="L216" s="213"/>
      <c r="M216" s="205">
        <v>15200</v>
      </c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</row>
    <row r="217" spans="1:84" s="220" customFormat="1" ht="15.75" hidden="1">
      <c r="A217" s="214"/>
      <c r="B217" s="214"/>
      <c r="C217" s="216"/>
      <c r="D217" s="216"/>
      <c r="E217" s="213"/>
      <c r="F217" s="213"/>
      <c r="G217" s="213"/>
      <c r="H217" s="213"/>
      <c r="I217" s="213"/>
      <c r="J217" s="213"/>
      <c r="K217" s="213"/>
      <c r="L217" s="213"/>
      <c r="M217" s="205">
        <v>15300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</row>
    <row r="218" spans="1:84" s="220" customFormat="1" ht="15.75" hidden="1">
      <c r="A218" s="214"/>
      <c r="B218" s="214"/>
      <c r="C218" s="216"/>
      <c r="D218" s="216"/>
      <c r="E218" s="213"/>
      <c r="F218" s="213"/>
      <c r="G218" s="213"/>
      <c r="H218" s="213"/>
      <c r="I218" s="213"/>
      <c r="J218" s="213"/>
      <c r="K218" s="213"/>
      <c r="L218" s="213"/>
      <c r="M218" s="205">
        <v>15400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</row>
    <row r="219" spans="1:84" s="220" customFormat="1" ht="15.75" hidden="1">
      <c r="A219" s="214"/>
      <c r="B219" s="214"/>
      <c r="C219" s="216"/>
      <c r="D219" s="216"/>
      <c r="E219" s="213"/>
      <c r="F219" s="213"/>
      <c r="G219" s="213"/>
      <c r="H219" s="213"/>
      <c r="I219" s="213"/>
      <c r="J219" s="213"/>
      <c r="K219" s="213"/>
      <c r="L219" s="213"/>
      <c r="M219" s="205">
        <v>15500</v>
      </c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</row>
    <row r="220" spans="1:84" s="220" customFormat="1" ht="15.75" hidden="1">
      <c r="A220" s="214"/>
      <c r="B220" s="214"/>
      <c r="C220" s="216"/>
      <c r="D220" s="216"/>
      <c r="E220" s="213"/>
      <c r="F220" s="213"/>
      <c r="G220" s="213"/>
      <c r="H220" s="213"/>
      <c r="I220" s="213"/>
      <c r="J220" s="213"/>
      <c r="K220" s="213"/>
      <c r="L220" s="213"/>
      <c r="M220" s="205">
        <v>15600</v>
      </c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</row>
    <row r="221" spans="1:84" s="220" customFormat="1" ht="15.75" hidden="1">
      <c r="A221" s="214"/>
      <c r="B221" s="214"/>
      <c r="C221" s="216"/>
      <c r="D221" s="216"/>
      <c r="E221" s="213"/>
      <c r="F221" s="213"/>
      <c r="G221" s="213"/>
      <c r="H221" s="213"/>
      <c r="I221" s="213"/>
      <c r="J221" s="213"/>
      <c r="K221" s="213"/>
      <c r="L221" s="213"/>
      <c r="M221" s="205">
        <v>15700</v>
      </c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</row>
    <row r="222" spans="1:84" s="220" customFormat="1" ht="15.75" hidden="1">
      <c r="A222" s="214"/>
      <c r="B222" s="214"/>
      <c r="C222" s="216"/>
      <c r="D222" s="216"/>
      <c r="E222" s="213"/>
      <c r="F222" s="213"/>
      <c r="G222" s="213"/>
      <c r="H222" s="213"/>
      <c r="I222" s="213"/>
      <c r="J222" s="213"/>
      <c r="K222" s="213"/>
      <c r="L222" s="213"/>
      <c r="M222" s="205">
        <v>15800</v>
      </c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</row>
    <row r="223" spans="1:84" s="220" customFormat="1" ht="15.75" hidden="1">
      <c r="A223" s="214"/>
      <c r="B223" s="214"/>
      <c r="C223" s="216"/>
      <c r="D223" s="216"/>
      <c r="E223" s="213"/>
      <c r="F223" s="213"/>
      <c r="G223" s="213"/>
      <c r="H223" s="213"/>
      <c r="I223" s="213"/>
      <c r="J223" s="213"/>
      <c r="K223" s="213"/>
      <c r="L223" s="213"/>
      <c r="M223" s="205">
        <v>15900</v>
      </c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</row>
    <row r="224" spans="1:84" s="220" customFormat="1" ht="15.75" hidden="1">
      <c r="A224" s="214"/>
      <c r="B224" s="214"/>
      <c r="C224" s="216"/>
      <c r="D224" s="216"/>
      <c r="E224" s="213"/>
      <c r="F224" s="213"/>
      <c r="G224" s="213"/>
      <c r="H224" s="213"/>
      <c r="I224" s="213"/>
      <c r="J224" s="213"/>
      <c r="K224" s="213"/>
      <c r="L224" s="213"/>
      <c r="M224" s="205">
        <v>16000</v>
      </c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</row>
    <row r="225" spans="1:84" s="220" customFormat="1" ht="15.75" hidden="1">
      <c r="A225" s="214"/>
      <c r="B225" s="214"/>
      <c r="C225" s="216"/>
      <c r="D225" s="216"/>
      <c r="E225" s="213"/>
      <c r="F225" s="213"/>
      <c r="G225" s="213"/>
      <c r="H225" s="213"/>
      <c r="I225" s="213"/>
      <c r="J225" s="213"/>
      <c r="K225" s="213"/>
      <c r="L225" s="213"/>
      <c r="M225" s="205">
        <v>16100</v>
      </c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</row>
    <row r="226" spans="1:84" s="220" customFormat="1" ht="15.75" hidden="1">
      <c r="A226" s="214"/>
      <c r="B226" s="214"/>
      <c r="C226" s="216"/>
      <c r="D226" s="216"/>
      <c r="E226" s="213"/>
      <c r="F226" s="213"/>
      <c r="G226" s="213"/>
      <c r="H226" s="213"/>
      <c r="I226" s="213"/>
      <c r="J226" s="213"/>
      <c r="K226" s="213"/>
      <c r="L226" s="213"/>
      <c r="M226" s="205">
        <v>16200</v>
      </c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</row>
    <row r="227" spans="1:84" s="220" customFormat="1" ht="15.75" hidden="1">
      <c r="A227" s="214"/>
      <c r="B227" s="214"/>
      <c r="C227" s="216"/>
      <c r="D227" s="216"/>
      <c r="E227" s="213"/>
      <c r="F227" s="213"/>
      <c r="G227" s="213"/>
      <c r="H227" s="213"/>
      <c r="I227" s="213"/>
      <c r="J227" s="213"/>
      <c r="K227" s="213"/>
      <c r="L227" s="213"/>
      <c r="M227" s="205">
        <v>16300</v>
      </c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</row>
    <row r="228" spans="1:84" s="220" customFormat="1" ht="15.75" hidden="1">
      <c r="A228" s="214"/>
      <c r="B228" s="214"/>
      <c r="C228" s="216"/>
      <c r="D228" s="216"/>
      <c r="E228" s="213"/>
      <c r="F228" s="213"/>
      <c r="G228" s="213"/>
      <c r="H228" s="213"/>
      <c r="I228" s="213"/>
      <c r="J228" s="213"/>
      <c r="K228" s="213"/>
      <c r="L228" s="213"/>
      <c r="M228" s="205">
        <v>16400</v>
      </c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</row>
    <row r="229" spans="1:84" s="220" customFormat="1" ht="15.75" hidden="1">
      <c r="A229" s="214"/>
      <c r="B229" s="214"/>
      <c r="C229" s="216"/>
      <c r="D229" s="216"/>
      <c r="E229" s="213"/>
      <c r="F229" s="213"/>
      <c r="G229" s="213"/>
      <c r="H229" s="213"/>
      <c r="I229" s="213"/>
      <c r="J229" s="213"/>
      <c r="K229" s="213"/>
      <c r="L229" s="213"/>
      <c r="M229" s="205">
        <v>16500</v>
      </c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</row>
    <row r="230" spans="1:84" s="220" customFormat="1" ht="15.75" hidden="1">
      <c r="A230" s="214"/>
      <c r="B230" s="214"/>
      <c r="C230" s="216"/>
      <c r="D230" s="216"/>
      <c r="E230" s="213"/>
      <c r="F230" s="213"/>
      <c r="G230" s="213"/>
      <c r="H230" s="213"/>
      <c r="I230" s="213"/>
      <c r="J230" s="213"/>
      <c r="K230" s="213"/>
      <c r="L230" s="213"/>
      <c r="M230" s="205">
        <v>16600</v>
      </c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</row>
    <row r="231" spans="1:84" s="220" customFormat="1" ht="15.75" hidden="1">
      <c r="A231" s="214"/>
      <c r="B231" s="214"/>
      <c r="C231" s="216"/>
      <c r="D231" s="216"/>
      <c r="E231" s="213"/>
      <c r="F231" s="213"/>
      <c r="G231" s="213"/>
      <c r="H231" s="213"/>
      <c r="I231" s="213"/>
      <c r="J231" s="213"/>
      <c r="K231" s="213"/>
      <c r="L231" s="213"/>
      <c r="M231" s="205">
        <v>16700</v>
      </c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  <c r="BM231" s="205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</row>
    <row r="232" spans="1:84" s="220" customFormat="1" ht="15.75" hidden="1">
      <c r="A232" s="214"/>
      <c r="B232" s="214"/>
      <c r="C232" s="216"/>
      <c r="D232" s="216"/>
      <c r="E232" s="213"/>
      <c r="F232" s="213"/>
      <c r="G232" s="213"/>
      <c r="H232" s="213"/>
      <c r="I232" s="213"/>
      <c r="J232" s="213"/>
      <c r="K232" s="213"/>
      <c r="L232" s="213"/>
      <c r="M232" s="205">
        <v>16800</v>
      </c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</row>
    <row r="233" spans="1:84" s="220" customFormat="1" ht="15.75" hidden="1">
      <c r="A233" s="214"/>
      <c r="B233" s="214"/>
      <c r="C233" s="216"/>
      <c r="D233" s="216"/>
      <c r="E233" s="213"/>
      <c r="F233" s="213"/>
      <c r="G233" s="213"/>
      <c r="H233" s="213"/>
      <c r="I233" s="213"/>
      <c r="J233" s="213"/>
      <c r="K233" s="213"/>
      <c r="L233" s="213"/>
      <c r="M233" s="205">
        <v>16900</v>
      </c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</row>
    <row r="234" spans="1:84" s="220" customFormat="1" ht="15.75" hidden="1">
      <c r="A234" s="214"/>
      <c r="B234" s="214"/>
      <c r="C234" s="216"/>
      <c r="D234" s="216"/>
      <c r="E234" s="213"/>
      <c r="F234" s="213"/>
      <c r="G234" s="213"/>
      <c r="H234" s="213"/>
      <c r="I234" s="213"/>
      <c r="J234" s="213"/>
      <c r="K234" s="213"/>
      <c r="L234" s="213"/>
      <c r="M234" s="205">
        <v>17000</v>
      </c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</row>
    <row r="235" spans="1:84" s="220" customFormat="1" ht="15.75" hidden="1">
      <c r="A235" s="214"/>
      <c r="B235" s="214"/>
      <c r="C235" s="216"/>
      <c r="D235" s="216"/>
      <c r="E235" s="213"/>
      <c r="F235" s="213"/>
      <c r="G235" s="213"/>
      <c r="H235" s="213"/>
      <c r="I235" s="213"/>
      <c r="J235" s="213"/>
      <c r="K235" s="213"/>
      <c r="L235" s="213"/>
      <c r="M235" s="205">
        <v>17100</v>
      </c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</row>
    <row r="236" spans="1:84" s="220" customFormat="1" ht="15.75" hidden="1">
      <c r="A236" s="214"/>
      <c r="B236" s="214"/>
      <c r="C236" s="216"/>
      <c r="D236" s="216"/>
      <c r="E236" s="213"/>
      <c r="F236" s="213"/>
      <c r="G236" s="213"/>
      <c r="H236" s="213"/>
      <c r="I236" s="213"/>
      <c r="J236" s="213"/>
      <c r="K236" s="213"/>
      <c r="L236" s="213"/>
      <c r="M236" s="205">
        <v>17200</v>
      </c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</row>
    <row r="237" spans="1:84" s="220" customFormat="1" ht="15.75" hidden="1">
      <c r="A237" s="214"/>
      <c r="B237" s="214"/>
      <c r="C237" s="216"/>
      <c r="D237" s="216"/>
      <c r="E237" s="213"/>
      <c r="F237" s="213"/>
      <c r="G237" s="213"/>
      <c r="H237" s="213"/>
      <c r="I237" s="213"/>
      <c r="J237" s="213"/>
      <c r="K237" s="213"/>
      <c r="L237" s="213"/>
      <c r="M237" s="205">
        <v>17300</v>
      </c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</row>
    <row r="238" spans="1:84" s="220" customFormat="1" ht="15.75" hidden="1">
      <c r="A238" s="214"/>
      <c r="B238" s="214"/>
      <c r="C238" s="216"/>
      <c r="D238" s="216"/>
      <c r="E238" s="213"/>
      <c r="F238" s="213"/>
      <c r="G238" s="213"/>
      <c r="H238" s="213"/>
      <c r="I238" s="213"/>
      <c r="J238" s="213"/>
      <c r="K238" s="213"/>
      <c r="L238" s="213"/>
      <c r="M238" s="205">
        <v>17400</v>
      </c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</row>
    <row r="239" spans="1:84" s="220" customFormat="1" ht="15.75" hidden="1">
      <c r="A239" s="214"/>
      <c r="B239" s="214"/>
      <c r="C239" s="216"/>
      <c r="D239" s="216"/>
      <c r="E239" s="213"/>
      <c r="F239" s="213"/>
      <c r="G239" s="213"/>
      <c r="H239" s="213"/>
      <c r="I239" s="213"/>
      <c r="J239" s="213"/>
      <c r="K239" s="213"/>
      <c r="L239" s="213"/>
      <c r="M239" s="205">
        <v>17500</v>
      </c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</row>
    <row r="240" spans="1:84" s="220" customFormat="1" ht="15.75" hidden="1">
      <c r="A240" s="214"/>
      <c r="B240" s="214"/>
      <c r="C240" s="216"/>
      <c r="D240" s="216"/>
      <c r="E240" s="213"/>
      <c r="F240" s="213"/>
      <c r="G240" s="213"/>
      <c r="H240" s="213"/>
      <c r="I240" s="213"/>
      <c r="J240" s="213"/>
      <c r="K240" s="213"/>
      <c r="L240" s="213"/>
      <c r="M240" s="205">
        <v>17600</v>
      </c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</row>
    <row r="241" spans="1:84" s="220" customFormat="1" ht="15.75" hidden="1">
      <c r="A241" s="214"/>
      <c r="B241" s="214"/>
      <c r="C241" s="216"/>
      <c r="D241" s="216"/>
      <c r="E241" s="213"/>
      <c r="F241" s="213"/>
      <c r="G241" s="213"/>
      <c r="H241" s="213"/>
      <c r="I241" s="213"/>
      <c r="J241" s="213"/>
      <c r="K241" s="213"/>
      <c r="L241" s="213"/>
      <c r="M241" s="205">
        <v>17700</v>
      </c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</row>
    <row r="242" spans="1:84" s="220" customFormat="1" ht="15.75" hidden="1">
      <c r="A242" s="214"/>
      <c r="B242" s="214"/>
      <c r="C242" s="216"/>
      <c r="D242" s="216"/>
      <c r="E242" s="213"/>
      <c r="F242" s="213"/>
      <c r="G242" s="213"/>
      <c r="H242" s="213"/>
      <c r="I242" s="213"/>
      <c r="J242" s="213"/>
      <c r="K242" s="213"/>
      <c r="L242" s="213"/>
      <c r="M242" s="205">
        <v>17800</v>
      </c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</row>
    <row r="243" spans="1:84" s="220" customFormat="1" ht="15.75" hidden="1">
      <c r="A243" s="214"/>
      <c r="B243" s="214"/>
      <c r="C243" s="216"/>
      <c r="D243" s="216"/>
      <c r="E243" s="213"/>
      <c r="F243" s="213"/>
      <c r="G243" s="213"/>
      <c r="H243" s="213"/>
      <c r="I243" s="213"/>
      <c r="J243" s="213"/>
      <c r="K243" s="213"/>
      <c r="L243" s="213"/>
      <c r="M243" s="205">
        <v>17900</v>
      </c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</row>
    <row r="244" spans="1:84" s="220" customFormat="1" ht="15.75" hidden="1">
      <c r="A244" s="214"/>
      <c r="B244" s="214"/>
      <c r="C244" s="216"/>
      <c r="D244" s="216"/>
      <c r="E244" s="213"/>
      <c r="F244" s="213"/>
      <c r="G244" s="213"/>
      <c r="H244" s="213"/>
      <c r="I244" s="213"/>
      <c r="J244" s="213"/>
      <c r="K244" s="213"/>
      <c r="L244" s="213"/>
      <c r="M244" s="205">
        <v>18000</v>
      </c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</row>
    <row r="245" spans="1:84" s="220" customFormat="1" ht="15.75" hidden="1">
      <c r="A245" s="214"/>
      <c r="B245" s="214"/>
      <c r="C245" s="216"/>
      <c r="D245" s="216"/>
      <c r="E245" s="213"/>
      <c r="F245" s="213"/>
      <c r="G245" s="213"/>
      <c r="H245" s="213"/>
      <c r="I245" s="213"/>
      <c r="J245" s="213"/>
      <c r="K245" s="213"/>
      <c r="L245" s="213"/>
      <c r="M245" s="205">
        <v>18100</v>
      </c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</row>
    <row r="246" spans="1:84" s="220" customFormat="1" ht="15.75" hidden="1">
      <c r="A246" s="214"/>
      <c r="B246" s="214"/>
      <c r="C246" s="216"/>
      <c r="D246" s="216"/>
      <c r="E246" s="213"/>
      <c r="F246" s="213"/>
      <c r="G246" s="213"/>
      <c r="H246" s="213"/>
      <c r="I246" s="213"/>
      <c r="J246" s="213"/>
      <c r="K246" s="213"/>
      <c r="L246" s="213"/>
      <c r="M246" s="205">
        <v>18200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</row>
    <row r="247" spans="1:84" s="220" customFormat="1" ht="15.75" hidden="1">
      <c r="A247" s="214"/>
      <c r="B247" s="214"/>
      <c r="C247" s="216"/>
      <c r="D247" s="216"/>
      <c r="E247" s="213"/>
      <c r="F247" s="213"/>
      <c r="G247" s="213"/>
      <c r="H247" s="213"/>
      <c r="I247" s="213"/>
      <c r="J247" s="213"/>
      <c r="K247" s="213"/>
      <c r="L247" s="213"/>
      <c r="M247" s="205">
        <v>18300</v>
      </c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</row>
    <row r="248" spans="1:84" s="220" customFormat="1" ht="15.75" hidden="1">
      <c r="A248" s="214"/>
      <c r="B248" s="214"/>
      <c r="C248" s="216"/>
      <c r="D248" s="216"/>
      <c r="E248" s="213"/>
      <c r="F248" s="213"/>
      <c r="G248" s="213"/>
      <c r="H248" s="213"/>
      <c r="I248" s="213"/>
      <c r="J248" s="213"/>
      <c r="K248" s="213"/>
      <c r="L248" s="213"/>
      <c r="M248" s="205">
        <v>18400</v>
      </c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</row>
    <row r="249" spans="1:84" s="220" customFormat="1" ht="15.75" hidden="1">
      <c r="A249" s="214"/>
      <c r="B249" s="214"/>
      <c r="C249" s="216"/>
      <c r="D249" s="216"/>
      <c r="E249" s="213"/>
      <c r="F249" s="213"/>
      <c r="G249" s="213"/>
      <c r="H249" s="213"/>
      <c r="I249" s="213"/>
      <c r="J249" s="213"/>
      <c r="K249" s="213"/>
      <c r="L249" s="213"/>
      <c r="M249" s="205">
        <v>18500</v>
      </c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</row>
    <row r="250" spans="1:84" s="220" customFormat="1" ht="15.75" hidden="1">
      <c r="A250" s="214"/>
      <c r="B250" s="214"/>
      <c r="C250" s="216"/>
      <c r="D250" s="216"/>
      <c r="E250" s="213"/>
      <c r="F250" s="213"/>
      <c r="G250" s="213"/>
      <c r="H250" s="213"/>
      <c r="I250" s="213"/>
      <c r="J250" s="213"/>
      <c r="K250" s="213"/>
      <c r="L250" s="213"/>
      <c r="M250" s="205">
        <v>18600</v>
      </c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</row>
    <row r="251" spans="1:84" s="220" customFormat="1" ht="15.75" hidden="1">
      <c r="A251" s="214"/>
      <c r="B251" s="214"/>
      <c r="C251" s="216"/>
      <c r="D251" s="216"/>
      <c r="E251" s="213"/>
      <c r="F251" s="213"/>
      <c r="G251" s="213"/>
      <c r="H251" s="213"/>
      <c r="I251" s="213"/>
      <c r="J251" s="213"/>
      <c r="K251" s="213"/>
      <c r="L251" s="213"/>
      <c r="M251" s="205">
        <v>18700</v>
      </c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</row>
    <row r="252" spans="1:84" s="220" customFormat="1" ht="15.75" hidden="1">
      <c r="A252" s="214"/>
      <c r="B252" s="214"/>
      <c r="C252" s="216"/>
      <c r="D252" s="216"/>
      <c r="E252" s="213"/>
      <c r="F252" s="213"/>
      <c r="G252" s="213"/>
      <c r="H252" s="213"/>
      <c r="I252" s="213"/>
      <c r="J252" s="213"/>
      <c r="K252" s="213"/>
      <c r="L252" s="213"/>
      <c r="M252" s="205">
        <v>18800</v>
      </c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</row>
    <row r="253" spans="1:84" s="220" customFormat="1" ht="15.75" hidden="1">
      <c r="A253" s="214"/>
      <c r="B253" s="214"/>
      <c r="C253" s="216"/>
      <c r="D253" s="216"/>
      <c r="E253" s="213"/>
      <c r="F253" s="213"/>
      <c r="G253" s="213"/>
      <c r="H253" s="213"/>
      <c r="I253" s="213"/>
      <c r="J253" s="213"/>
      <c r="K253" s="213"/>
      <c r="L253" s="213"/>
      <c r="M253" s="205">
        <v>18900</v>
      </c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</row>
    <row r="254" spans="1:84" s="220" customFormat="1" ht="15.75" hidden="1">
      <c r="A254" s="214"/>
      <c r="B254" s="214"/>
      <c r="C254" s="216"/>
      <c r="D254" s="216"/>
      <c r="E254" s="213"/>
      <c r="F254" s="213"/>
      <c r="G254" s="213"/>
      <c r="H254" s="213"/>
      <c r="I254" s="213"/>
      <c r="J254" s="213"/>
      <c r="K254" s="213"/>
      <c r="L254" s="213"/>
      <c r="M254" s="205">
        <v>19000</v>
      </c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</row>
    <row r="255" spans="1:84" s="220" customFormat="1" ht="15.75" hidden="1">
      <c r="A255" s="214"/>
      <c r="B255" s="214"/>
      <c r="C255" s="216"/>
      <c r="D255" s="216"/>
      <c r="E255" s="213"/>
      <c r="F255" s="213"/>
      <c r="G255" s="213"/>
      <c r="H255" s="213"/>
      <c r="I255" s="213"/>
      <c r="J255" s="213"/>
      <c r="K255" s="213"/>
      <c r="L255" s="213"/>
      <c r="M255" s="205">
        <v>19100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</row>
    <row r="256" spans="1:84" s="220" customFormat="1" ht="15.75" hidden="1">
      <c r="A256" s="214"/>
      <c r="B256" s="214"/>
      <c r="C256" s="216"/>
      <c r="D256" s="216"/>
      <c r="E256" s="213"/>
      <c r="F256" s="213"/>
      <c r="G256" s="213"/>
      <c r="H256" s="213"/>
      <c r="I256" s="213"/>
      <c r="J256" s="213"/>
      <c r="K256" s="213"/>
      <c r="L256" s="213"/>
      <c r="M256" s="205">
        <v>19200</v>
      </c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</row>
    <row r="257" spans="1:84" s="220" customFormat="1" ht="15.75" hidden="1">
      <c r="A257" s="214"/>
      <c r="B257" s="214"/>
      <c r="C257" s="216"/>
      <c r="D257" s="216"/>
      <c r="E257" s="213"/>
      <c r="F257" s="213"/>
      <c r="G257" s="213"/>
      <c r="H257" s="213"/>
      <c r="I257" s="213"/>
      <c r="J257" s="213"/>
      <c r="K257" s="213"/>
      <c r="L257" s="213"/>
      <c r="M257" s="205">
        <v>19300</v>
      </c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</row>
    <row r="258" spans="1:84" s="220" customFormat="1" ht="15.75" hidden="1">
      <c r="A258" s="214"/>
      <c r="B258" s="214"/>
      <c r="C258" s="216"/>
      <c r="D258" s="216"/>
      <c r="E258" s="213"/>
      <c r="F258" s="213"/>
      <c r="G258" s="213"/>
      <c r="H258" s="213"/>
      <c r="I258" s="213"/>
      <c r="J258" s="213"/>
      <c r="K258" s="213"/>
      <c r="L258" s="213"/>
      <c r="M258" s="205">
        <v>19400</v>
      </c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</row>
    <row r="259" spans="1:84" s="220" customFormat="1" ht="15.75" hidden="1">
      <c r="A259" s="214"/>
      <c r="B259" s="214"/>
      <c r="C259" s="216"/>
      <c r="D259" s="216"/>
      <c r="E259" s="213"/>
      <c r="F259" s="213"/>
      <c r="G259" s="213"/>
      <c r="H259" s="213"/>
      <c r="I259" s="213"/>
      <c r="J259" s="213"/>
      <c r="K259" s="213"/>
      <c r="L259" s="213"/>
      <c r="M259" s="205">
        <v>19500</v>
      </c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</row>
    <row r="260" spans="1:84" s="220" customFormat="1" ht="15.75" hidden="1">
      <c r="A260" s="214"/>
      <c r="B260" s="214"/>
      <c r="C260" s="216"/>
      <c r="D260" s="216"/>
      <c r="E260" s="213"/>
      <c r="F260" s="213"/>
      <c r="G260" s="213"/>
      <c r="H260" s="213"/>
      <c r="I260" s="213"/>
      <c r="J260" s="213"/>
      <c r="K260" s="213"/>
      <c r="L260" s="213"/>
      <c r="M260" s="205">
        <v>19600</v>
      </c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</row>
    <row r="261" spans="1:84" s="220" customFormat="1" ht="15.75" hidden="1">
      <c r="A261" s="214"/>
      <c r="B261" s="214"/>
      <c r="C261" s="216"/>
      <c r="D261" s="216"/>
      <c r="E261" s="213"/>
      <c r="F261" s="213"/>
      <c r="G261" s="213"/>
      <c r="H261" s="213"/>
      <c r="I261" s="213"/>
      <c r="J261" s="213"/>
      <c r="K261" s="213"/>
      <c r="L261" s="213"/>
      <c r="M261" s="205">
        <v>19700</v>
      </c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</row>
    <row r="262" spans="1:84" s="220" customFormat="1" ht="15.75" hidden="1">
      <c r="A262" s="214"/>
      <c r="B262" s="214"/>
      <c r="C262" s="216"/>
      <c r="D262" s="216"/>
      <c r="E262" s="213"/>
      <c r="F262" s="213"/>
      <c r="G262" s="213"/>
      <c r="H262" s="213"/>
      <c r="I262" s="213"/>
      <c r="J262" s="213"/>
      <c r="K262" s="213"/>
      <c r="L262" s="213"/>
      <c r="M262" s="205">
        <v>19800</v>
      </c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</row>
    <row r="263" spans="1:84" s="220" customFormat="1" ht="15.75" hidden="1">
      <c r="A263" s="214"/>
      <c r="B263" s="214"/>
      <c r="C263" s="216"/>
      <c r="D263" s="216"/>
      <c r="E263" s="213"/>
      <c r="F263" s="213"/>
      <c r="G263" s="213"/>
      <c r="H263" s="213"/>
      <c r="I263" s="213"/>
      <c r="J263" s="213"/>
      <c r="K263" s="213"/>
      <c r="L263" s="213"/>
      <c r="M263" s="205">
        <v>19900</v>
      </c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</row>
    <row r="264" spans="1:84" s="220" customFormat="1" ht="15.75" hidden="1">
      <c r="A264" s="214"/>
      <c r="B264" s="214"/>
      <c r="C264" s="216"/>
      <c r="D264" s="216"/>
      <c r="E264" s="213"/>
      <c r="F264" s="213"/>
      <c r="G264" s="213"/>
      <c r="H264" s="213"/>
      <c r="I264" s="213"/>
      <c r="J264" s="213"/>
      <c r="K264" s="213"/>
      <c r="L264" s="213"/>
      <c r="M264" s="205">
        <v>20000</v>
      </c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</row>
    <row r="265" spans="1:84" s="220" customFormat="1" ht="15.75" hidden="1">
      <c r="A265" s="214"/>
      <c r="B265" s="214"/>
      <c r="C265" s="216"/>
      <c r="D265" s="216"/>
      <c r="E265" s="213"/>
      <c r="F265" s="213"/>
      <c r="G265" s="213"/>
      <c r="H265" s="213"/>
      <c r="I265" s="213"/>
      <c r="J265" s="213"/>
      <c r="K265" s="213"/>
      <c r="L265" s="213"/>
      <c r="M265" s="205">
        <v>20100</v>
      </c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</row>
    <row r="266" spans="1:84" s="220" customFormat="1" ht="15.75" hidden="1">
      <c r="A266" s="214"/>
      <c r="B266" s="214"/>
      <c r="C266" s="216"/>
      <c r="D266" s="216"/>
      <c r="E266" s="213"/>
      <c r="F266" s="213"/>
      <c r="G266" s="213"/>
      <c r="H266" s="213"/>
      <c r="I266" s="213"/>
      <c r="J266" s="213"/>
      <c r="K266" s="213"/>
      <c r="L266" s="213"/>
      <c r="M266" s="205">
        <v>20200</v>
      </c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</row>
    <row r="267" spans="1:84" s="220" customFormat="1" ht="15.75" hidden="1">
      <c r="A267" s="214"/>
      <c r="B267" s="214"/>
      <c r="C267" s="216"/>
      <c r="D267" s="216"/>
      <c r="E267" s="213"/>
      <c r="F267" s="213"/>
      <c r="G267" s="213"/>
      <c r="H267" s="213"/>
      <c r="I267" s="213"/>
      <c r="J267" s="213"/>
      <c r="K267" s="213"/>
      <c r="L267" s="213"/>
      <c r="M267" s="205">
        <v>20300</v>
      </c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</row>
    <row r="268" spans="1:84" s="220" customFormat="1" ht="15.75" hidden="1">
      <c r="A268" s="214"/>
      <c r="B268" s="214"/>
      <c r="C268" s="216"/>
      <c r="D268" s="216"/>
      <c r="E268" s="213"/>
      <c r="F268" s="213"/>
      <c r="G268" s="213"/>
      <c r="H268" s="213"/>
      <c r="I268" s="213"/>
      <c r="J268" s="213"/>
      <c r="K268" s="213"/>
      <c r="L268" s="213"/>
      <c r="M268" s="205">
        <v>20400</v>
      </c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</row>
    <row r="269" spans="1:84" s="220" customFormat="1" ht="15.75" hidden="1">
      <c r="A269" s="214"/>
      <c r="B269" s="214"/>
      <c r="C269" s="216"/>
      <c r="D269" s="216"/>
      <c r="E269" s="213"/>
      <c r="F269" s="213"/>
      <c r="G269" s="213"/>
      <c r="H269" s="213"/>
      <c r="I269" s="213"/>
      <c r="J269" s="213"/>
      <c r="K269" s="213"/>
      <c r="L269" s="213"/>
      <c r="M269" s="205">
        <v>20500</v>
      </c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</row>
    <row r="270" spans="1:84" s="220" customFormat="1" ht="15.75" hidden="1">
      <c r="A270" s="214"/>
      <c r="B270" s="214"/>
      <c r="C270" s="216"/>
      <c r="D270" s="216"/>
      <c r="E270" s="213"/>
      <c r="F270" s="213"/>
      <c r="G270" s="213"/>
      <c r="H270" s="213"/>
      <c r="I270" s="213"/>
      <c r="J270" s="213"/>
      <c r="K270" s="213"/>
      <c r="L270" s="213"/>
      <c r="M270" s="205">
        <v>20600</v>
      </c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</row>
    <row r="271" spans="1:84" s="220" customFormat="1" ht="15.75" hidden="1">
      <c r="A271" s="214"/>
      <c r="B271" s="214"/>
      <c r="C271" s="216"/>
      <c r="D271" s="216"/>
      <c r="E271" s="213"/>
      <c r="F271" s="213"/>
      <c r="G271" s="213"/>
      <c r="H271" s="213"/>
      <c r="I271" s="213"/>
      <c r="J271" s="213"/>
      <c r="K271" s="213"/>
      <c r="L271" s="213"/>
      <c r="M271" s="205">
        <v>20700</v>
      </c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</row>
    <row r="272" spans="1:84" s="220" customFormat="1" ht="15.75" hidden="1">
      <c r="A272" s="214"/>
      <c r="B272" s="214"/>
      <c r="C272" s="216"/>
      <c r="D272" s="216"/>
      <c r="E272" s="213"/>
      <c r="F272" s="213"/>
      <c r="G272" s="213"/>
      <c r="H272" s="213"/>
      <c r="I272" s="213"/>
      <c r="J272" s="213"/>
      <c r="K272" s="213"/>
      <c r="L272" s="213"/>
      <c r="M272" s="205">
        <v>20800</v>
      </c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</row>
    <row r="273" spans="1:84" s="220" customFormat="1" ht="15.75" hidden="1">
      <c r="A273" s="214"/>
      <c r="B273" s="214"/>
      <c r="C273" s="216"/>
      <c r="D273" s="216"/>
      <c r="E273" s="213"/>
      <c r="F273" s="213"/>
      <c r="G273" s="213"/>
      <c r="H273" s="213"/>
      <c r="I273" s="213"/>
      <c r="J273" s="213"/>
      <c r="K273" s="213"/>
      <c r="L273" s="213"/>
      <c r="M273" s="205">
        <v>20900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</row>
    <row r="274" spans="1:84" s="220" customFormat="1" ht="15.75" hidden="1">
      <c r="A274" s="214"/>
      <c r="B274" s="214"/>
      <c r="C274" s="216"/>
      <c r="D274" s="216"/>
      <c r="E274" s="213"/>
      <c r="F274" s="213"/>
      <c r="G274" s="213"/>
      <c r="H274" s="213"/>
      <c r="I274" s="213"/>
      <c r="J274" s="213"/>
      <c r="K274" s="213"/>
      <c r="L274" s="213"/>
      <c r="M274" s="205">
        <v>21000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</row>
    <row r="275" spans="1:84" s="220" customFormat="1" ht="15.75" hidden="1">
      <c r="A275" s="214"/>
      <c r="B275" s="214"/>
      <c r="C275" s="216"/>
      <c r="D275" s="216"/>
      <c r="E275" s="213"/>
      <c r="F275" s="213"/>
      <c r="G275" s="213"/>
      <c r="H275" s="213"/>
      <c r="I275" s="213"/>
      <c r="J275" s="213"/>
      <c r="K275" s="213"/>
      <c r="L275" s="213"/>
      <c r="M275" s="205">
        <v>21100</v>
      </c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</row>
    <row r="276" spans="1:84" s="220" customFormat="1" ht="15.75" hidden="1">
      <c r="A276" s="214"/>
      <c r="B276" s="214"/>
      <c r="C276" s="216"/>
      <c r="D276" s="216"/>
      <c r="E276" s="213"/>
      <c r="F276" s="213"/>
      <c r="G276" s="213"/>
      <c r="H276" s="213"/>
      <c r="I276" s="213"/>
      <c r="J276" s="213"/>
      <c r="K276" s="213"/>
      <c r="L276" s="213"/>
      <c r="M276" s="205">
        <v>21200</v>
      </c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</row>
    <row r="277" spans="1:84" s="220" customFormat="1" ht="15.75" hidden="1">
      <c r="A277" s="214"/>
      <c r="B277" s="214"/>
      <c r="C277" s="216"/>
      <c r="D277" s="216"/>
      <c r="E277" s="213"/>
      <c r="F277" s="213"/>
      <c r="G277" s="213"/>
      <c r="H277" s="213"/>
      <c r="I277" s="213"/>
      <c r="J277" s="213"/>
      <c r="K277" s="213"/>
      <c r="L277" s="213"/>
      <c r="M277" s="205">
        <v>21300</v>
      </c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</row>
    <row r="278" spans="1:84" s="220" customFormat="1" ht="15.75" hidden="1">
      <c r="A278" s="214"/>
      <c r="B278" s="214"/>
      <c r="C278" s="216"/>
      <c r="D278" s="216"/>
      <c r="E278" s="213"/>
      <c r="F278" s="213"/>
      <c r="G278" s="213"/>
      <c r="H278" s="213"/>
      <c r="I278" s="213"/>
      <c r="J278" s="213"/>
      <c r="K278" s="213"/>
      <c r="L278" s="213"/>
      <c r="M278" s="205">
        <v>21400</v>
      </c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</row>
    <row r="279" spans="1:84" s="220" customFormat="1" ht="15.75" hidden="1">
      <c r="A279" s="214"/>
      <c r="B279" s="214"/>
      <c r="C279" s="216"/>
      <c r="D279" s="216"/>
      <c r="E279" s="213"/>
      <c r="F279" s="213"/>
      <c r="G279" s="213"/>
      <c r="H279" s="213"/>
      <c r="I279" s="213"/>
      <c r="J279" s="213"/>
      <c r="K279" s="213"/>
      <c r="L279" s="213"/>
      <c r="M279" s="205">
        <v>21500</v>
      </c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</row>
    <row r="280" spans="1:84" s="220" customFormat="1" ht="15.75" hidden="1">
      <c r="A280" s="214"/>
      <c r="B280" s="214"/>
      <c r="C280" s="216"/>
      <c r="D280" s="216"/>
      <c r="E280" s="213"/>
      <c r="F280" s="213"/>
      <c r="G280" s="213"/>
      <c r="H280" s="213"/>
      <c r="I280" s="213"/>
      <c r="J280" s="213"/>
      <c r="K280" s="213"/>
      <c r="L280" s="213"/>
      <c r="M280" s="205">
        <v>21600</v>
      </c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</row>
    <row r="281" spans="1:84" s="220" customFormat="1" ht="15.75" hidden="1">
      <c r="A281" s="214"/>
      <c r="B281" s="214"/>
      <c r="C281" s="216"/>
      <c r="D281" s="216"/>
      <c r="E281" s="213"/>
      <c r="F281" s="213"/>
      <c r="G281" s="213"/>
      <c r="H281" s="213"/>
      <c r="I281" s="213"/>
      <c r="J281" s="213"/>
      <c r="K281" s="213"/>
      <c r="L281" s="213"/>
      <c r="M281" s="205">
        <v>21700</v>
      </c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</row>
    <row r="282" spans="1:84" s="220" customFormat="1" ht="15.75" hidden="1">
      <c r="A282" s="214"/>
      <c r="B282" s="214"/>
      <c r="C282" s="216"/>
      <c r="D282" s="216"/>
      <c r="E282" s="213"/>
      <c r="F282" s="213"/>
      <c r="G282" s="213"/>
      <c r="H282" s="213"/>
      <c r="I282" s="213"/>
      <c r="J282" s="213"/>
      <c r="K282" s="213"/>
      <c r="L282" s="213"/>
      <c r="M282" s="205">
        <v>21800</v>
      </c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</row>
    <row r="283" spans="1:84" s="220" customFormat="1" ht="15.75" hidden="1">
      <c r="A283" s="214"/>
      <c r="B283" s="214"/>
      <c r="C283" s="216"/>
      <c r="D283" s="216"/>
      <c r="E283" s="213"/>
      <c r="F283" s="213"/>
      <c r="G283" s="213"/>
      <c r="H283" s="213"/>
      <c r="I283" s="213"/>
      <c r="J283" s="213"/>
      <c r="K283" s="213"/>
      <c r="L283" s="213"/>
      <c r="M283" s="205">
        <v>21900</v>
      </c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</row>
    <row r="284" spans="1:84" s="220" customFormat="1" ht="15.75" hidden="1">
      <c r="A284" s="214"/>
      <c r="B284" s="214"/>
      <c r="C284" s="216"/>
      <c r="D284" s="216"/>
      <c r="E284" s="213"/>
      <c r="F284" s="213"/>
      <c r="G284" s="213"/>
      <c r="H284" s="213"/>
      <c r="I284" s="213"/>
      <c r="J284" s="213"/>
      <c r="K284" s="213"/>
      <c r="L284" s="213"/>
      <c r="M284" s="205">
        <v>22000</v>
      </c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</row>
    <row r="285" spans="1:84" s="220" customFormat="1" ht="15.75" hidden="1">
      <c r="A285" s="214"/>
      <c r="B285" s="214"/>
      <c r="C285" s="216"/>
      <c r="D285" s="216"/>
      <c r="E285" s="213"/>
      <c r="F285" s="213"/>
      <c r="G285" s="213"/>
      <c r="H285" s="213"/>
      <c r="I285" s="213"/>
      <c r="J285" s="213"/>
      <c r="K285" s="213"/>
      <c r="L285" s="213"/>
      <c r="M285" s="205">
        <v>22100</v>
      </c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</row>
    <row r="286" spans="1:84" s="220" customFormat="1" ht="15.75" hidden="1">
      <c r="A286" s="214"/>
      <c r="B286" s="214"/>
      <c r="C286" s="216"/>
      <c r="D286" s="216"/>
      <c r="E286" s="213"/>
      <c r="F286" s="213"/>
      <c r="G286" s="213"/>
      <c r="H286" s="213"/>
      <c r="I286" s="213"/>
      <c r="J286" s="213"/>
      <c r="K286" s="213"/>
      <c r="L286" s="213"/>
      <c r="M286" s="205">
        <v>22200</v>
      </c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</row>
    <row r="287" spans="1:84" s="220" customFormat="1" ht="15.75" hidden="1">
      <c r="A287" s="214"/>
      <c r="B287" s="214"/>
      <c r="C287" s="216"/>
      <c r="D287" s="216"/>
      <c r="E287" s="213"/>
      <c r="F287" s="213"/>
      <c r="G287" s="213"/>
      <c r="H287" s="213"/>
      <c r="I287" s="213"/>
      <c r="J287" s="213"/>
      <c r="K287" s="213"/>
      <c r="L287" s="213"/>
      <c r="M287" s="205">
        <v>22300</v>
      </c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</row>
    <row r="288" spans="1:84" s="220" customFormat="1" ht="15.75" hidden="1">
      <c r="A288" s="214"/>
      <c r="B288" s="214"/>
      <c r="C288" s="216"/>
      <c r="D288" s="216"/>
      <c r="E288" s="213"/>
      <c r="F288" s="213"/>
      <c r="G288" s="213"/>
      <c r="H288" s="213"/>
      <c r="I288" s="213"/>
      <c r="J288" s="213"/>
      <c r="K288" s="213"/>
      <c r="L288" s="213"/>
      <c r="M288" s="205">
        <v>22400</v>
      </c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</row>
    <row r="289" spans="1:84" s="220" customFormat="1" ht="15.75" hidden="1">
      <c r="A289" s="214"/>
      <c r="B289" s="214"/>
      <c r="C289" s="216"/>
      <c r="D289" s="216"/>
      <c r="E289" s="213"/>
      <c r="F289" s="213"/>
      <c r="G289" s="213"/>
      <c r="H289" s="213"/>
      <c r="I289" s="213"/>
      <c r="J289" s="213"/>
      <c r="K289" s="213"/>
      <c r="L289" s="213"/>
      <c r="M289" s="205">
        <v>22500</v>
      </c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</row>
    <row r="290" spans="1:84" s="220" customFormat="1" ht="15.75" hidden="1">
      <c r="A290" s="214"/>
      <c r="B290" s="214"/>
      <c r="C290" s="216"/>
      <c r="D290" s="216"/>
      <c r="E290" s="213"/>
      <c r="F290" s="213"/>
      <c r="G290" s="213"/>
      <c r="H290" s="213"/>
      <c r="I290" s="213"/>
      <c r="J290" s="213"/>
      <c r="K290" s="213"/>
      <c r="L290" s="213"/>
      <c r="M290" s="205">
        <v>22600</v>
      </c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</row>
    <row r="291" spans="1:84" s="220" customFormat="1" ht="15.75" hidden="1">
      <c r="A291" s="214"/>
      <c r="B291" s="214"/>
      <c r="C291" s="216"/>
      <c r="D291" s="216"/>
      <c r="E291" s="213"/>
      <c r="F291" s="213"/>
      <c r="G291" s="213"/>
      <c r="H291" s="213"/>
      <c r="I291" s="213"/>
      <c r="J291" s="213"/>
      <c r="K291" s="213"/>
      <c r="L291" s="213"/>
      <c r="M291" s="205">
        <v>22700</v>
      </c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</row>
    <row r="292" spans="1:84" s="220" customFormat="1" ht="15.75" hidden="1">
      <c r="A292" s="214"/>
      <c r="B292" s="214"/>
      <c r="C292" s="216"/>
      <c r="D292" s="216"/>
      <c r="E292" s="213"/>
      <c r="F292" s="213"/>
      <c r="G292" s="213"/>
      <c r="H292" s="213"/>
      <c r="I292" s="213"/>
      <c r="J292" s="213"/>
      <c r="K292" s="213"/>
      <c r="L292" s="213"/>
      <c r="M292" s="205">
        <v>22800</v>
      </c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</row>
    <row r="293" spans="1:84" s="220" customFormat="1" ht="15.75" hidden="1">
      <c r="A293" s="214"/>
      <c r="B293" s="214"/>
      <c r="C293" s="216"/>
      <c r="D293" s="216"/>
      <c r="E293" s="213"/>
      <c r="F293" s="213"/>
      <c r="G293" s="213"/>
      <c r="H293" s="213"/>
      <c r="I293" s="213"/>
      <c r="J293" s="213"/>
      <c r="K293" s="213"/>
      <c r="L293" s="213"/>
      <c r="M293" s="205">
        <v>22900</v>
      </c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</row>
    <row r="294" spans="1:84" s="220" customFormat="1" ht="15.75" hidden="1">
      <c r="A294" s="214"/>
      <c r="B294" s="214"/>
      <c r="C294" s="216"/>
      <c r="D294" s="216"/>
      <c r="E294" s="213"/>
      <c r="F294" s="213"/>
      <c r="G294" s="213"/>
      <c r="H294" s="213"/>
      <c r="I294" s="213"/>
      <c r="J294" s="213"/>
      <c r="K294" s="213"/>
      <c r="L294" s="213"/>
      <c r="M294" s="205">
        <v>23000</v>
      </c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</row>
    <row r="295" spans="1:84" s="220" customFormat="1" ht="15.75" hidden="1">
      <c r="A295" s="214"/>
      <c r="B295" s="214"/>
      <c r="C295" s="216"/>
      <c r="D295" s="216"/>
      <c r="E295" s="213"/>
      <c r="F295" s="213"/>
      <c r="G295" s="213"/>
      <c r="H295" s="213"/>
      <c r="I295" s="213"/>
      <c r="J295" s="213"/>
      <c r="K295" s="213"/>
      <c r="L295" s="213"/>
      <c r="M295" s="205">
        <v>23100</v>
      </c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</row>
    <row r="296" spans="1:84" s="220" customFormat="1" ht="15.75" hidden="1">
      <c r="A296" s="214"/>
      <c r="B296" s="214"/>
      <c r="C296" s="216"/>
      <c r="D296" s="216"/>
      <c r="E296" s="213"/>
      <c r="F296" s="213"/>
      <c r="G296" s="213"/>
      <c r="H296" s="213"/>
      <c r="I296" s="213"/>
      <c r="J296" s="213"/>
      <c r="K296" s="213"/>
      <c r="L296" s="213"/>
      <c r="M296" s="205">
        <v>23200</v>
      </c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</row>
    <row r="297" spans="1:84" s="220" customFormat="1" ht="15.75" hidden="1">
      <c r="A297" s="214"/>
      <c r="B297" s="214"/>
      <c r="C297" s="216"/>
      <c r="D297" s="216"/>
      <c r="E297" s="213"/>
      <c r="F297" s="213"/>
      <c r="G297" s="213"/>
      <c r="H297" s="213"/>
      <c r="I297" s="213"/>
      <c r="J297" s="213"/>
      <c r="K297" s="213"/>
      <c r="L297" s="213"/>
      <c r="M297" s="205">
        <v>23300</v>
      </c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</row>
    <row r="298" spans="1:84" s="220" customFormat="1" ht="15.75" hidden="1">
      <c r="A298" s="214"/>
      <c r="B298" s="214"/>
      <c r="C298" s="216"/>
      <c r="D298" s="216"/>
      <c r="E298" s="213"/>
      <c r="F298" s="213"/>
      <c r="G298" s="213"/>
      <c r="H298" s="213"/>
      <c r="I298" s="213"/>
      <c r="J298" s="213"/>
      <c r="K298" s="213"/>
      <c r="L298" s="213"/>
      <c r="M298" s="205">
        <v>23400</v>
      </c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</row>
    <row r="299" spans="1:84" s="220" customFormat="1" ht="15.75" hidden="1">
      <c r="A299" s="214"/>
      <c r="B299" s="214"/>
      <c r="C299" s="216"/>
      <c r="D299" s="216"/>
      <c r="E299" s="213"/>
      <c r="F299" s="213"/>
      <c r="G299" s="213"/>
      <c r="H299" s="213"/>
      <c r="I299" s="213"/>
      <c r="J299" s="213"/>
      <c r="K299" s="213"/>
      <c r="L299" s="213"/>
      <c r="M299" s="205">
        <v>23500</v>
      </c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</row>
    <row r="300" spans="1:84" s="220" customFormat="1" ht="15.75" hidden="1">
      <c r="A300" s="214"/>
      <c r="B300" s="214"/>
      <c r="C300" s="216"/>
      <c r="D300" s="216"/>
      <c r="E300" s="213"/>
      <c r="F300" s="213"/>
      <c r="G300" s="213"/>
      <c r="H300" s="213"/>
      <c r="I300" s="213"/>
      <c r="J300" s="213"/>
      <c r="K300" s="213"/>
      <c r="L300" s="213"/>
      <c r="M300" s="205">
        <v>23600</v>
      </c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</row>
    <row r="301" spans="1:84" s="220" customFormat="1" ht="15.75" hidden="1">
      <c r="A301" s="214"/>
      <c r="B301" s="214"/>
      <c r="C301" s="216"/>
      <c r="D301" s="216"/>
      <c r="E301" s="213"/>
      <c r="F301" s="213"/>
      <c r="G301" s="213"/>
      <c r="H301" s="213"/>
      <c r="I301" s="213"/>
      <c r="J301" s="213"/>
      <c r="K301" s="213"/>
      <c r="L301" s="213"/>
      <c r="M301" s="205">
        <v>23700</v>
      </c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</row>
    <row r="302" spans="1:84" s="220" customFormat="1" ht="15.75" hidden="1">
      <c r="A302" s="214"/>
      <c r="B302" s="214"/>
      <c r="C302" s="216"/>
      <c r="D302" s="216"/>
      <c r="E302" s="213"/>
      <c r="F302" s="213"/>
      <c r="G302" s="213"/>
      <c r="H302" s="213"/>
      <c r="I302" s="213"/>
      <c r="J302" s="213"/>
      <c r="K302" s="213"/>
      <c r="L302" s="213"/>
      <c r="M302" s="205">
        <v>23800</v>
      </c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</row>
    <row r="303" spans="1:84" s="220" customFormat="1" ht="15.75" hidden="1">
      <c r="A303" s="214"/>
      <c r="B303" s="214"/>
      <c r="C303" s="216"/>
      <c r="D303" s="216"/>
      <c r="E303" s="213"/>
      <c r="F303" s="213"/>
      <c r="G303" s="213"/>
      <c r="H303" s="213"/>
      <c r="I303" s="213"/>
      <c r="J303" s="213"/>
      <c r="K303" s="213"/>
      <c r="L303" s="213"/>
      <c r="M303" s="205">
        <v>23900</v>
      </c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</row>
    <row r="304" spans="1:84" s="220" customFormat="1" ht="15.75" hidden="1">
      <c r="A304" s="214"/>
      <c r="B304" s="214"/>
      <c r="C304" s="216"/>
      <c r="D304" s="216"/>
      <c r="E304" s="213"/>
      <c r="F304" s="213"/>
      <c r="G304" s="213"/>
      <c r="H304" s="213"/>
      <c r="I304" s="213"/>
      <c r="J304" s="213"/>
      <c r="K304" s="213"/>
      <c r="L304" s="213"/>
      <c r="M304" s="205">
        <v>24000</v>
      </c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</row>
    <row r="305" spans="1:84" s="220" customFormat="1" ht="15.75" hidden="1">
      <c r="A305" s="214"/>
      <c r="B305" s="214"/>
      <c r="C305" s="216"/>
      <c r="D305" s="216"/>
      <c r="E305" s="213"/>
      <c r="F305" s="213"/>
      <c r="G305" s="213"/>
      <c r="H305" s="213"/>
      <c r="I305" s="213"/>
      <c r="J305" s="213"/>
      <c r="K305" s="213"/>
      <c r="L305" s="213"/>
      <c r="M305" s="205">
        <v>24100</v>
      </c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</row>
    <row r="306" spans="1:84" s="220" customFormat="1" ht="15.75" hidden="1">
      <c r="A306" s="214"/>
      <c r="B306" s="214"/>
      <c r="C306" s="216"/>
      <c r="D306" s="216"/>
      <c r="E306" s="213"/>
      <c r="F306" s="213"/>
      <c r="G306" s="213"/>
      <c r="H306" s="213"/>
      <c r="I306" s="213"/>
      <c r="J306" s="213"/>
      <c r="K306" s="213"/>
      <c r="L306" s="213"/>
      <c r="M306" s="205">
        <v>24200</v>
      </c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</row>
    <row r="307" spans="1:84" s="220" customFormat="1" ht="15.75" hidden="1">
      <c r="A307" s="214"/>
      <c r="B307" s="214"/>
      <c r="C307" s="216"/>
      <c r="D307" s="216"/>
      <c r="E307" s="213"/>
      <c r="F307" s="213"/>
      <c r="G307" s="213"/>
      <c r="H307" s="213"/>
      <c r="I307" s="213"/>
      <c r="J307" s="213"/>
      <c r="K307" s="213"/>
      <c r="L307" s="213"/>
      <c r="M307" s="205">
        <v>24300</v>
      </c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</row>
    <row r="308" spans="1:84" s="220" customFormat="1" ht="15.75" hidden="1">
      <c r="A308" s="214"/>
      <c r="B308" s="214"/>
      <c r="C308" s="216"/>
      <c r="D308" s="216"/>
      <c r="E308" s="213"/>
      <c r="F308" s="213"/>
      <c r="G308" s="213"/>
      <c r="H308" s="213"/>
      <c r="I308" s="213"/>
      <c r="J308" s="213"/>
      <c r="K308" s="213"/>
      <c r="L308" s="213"/>
      <c r="M308" s="205">
        <v>24400</v>
      </c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</row>
    <row r="309" spans="1:84" s="220" customFormat="1" ht="15.75" hidden="1">
      <c r="A309" s="214"/>
      <c r="B309" s="214"/>
      <c r="C309" s="216"/>
      <c r="D309" s="216"/>
      <c r="E309" s="213"/>
      <c r="F309" s="213"/>
      <c r="G309" s="213"/>
      <c r="H309" s="213"/>
      <c r="I309" s="213"/>
      <c r="J309" s="213"/>
      <c r="K309" s="213"/>
      <c r="L309" s="213"/>
      <c r="M309" s="205">
        <v>24500</v>
      </c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</row>
    <row r="310" spans="1:84" s="220" customFormat="1" ht="15.75" hidden="1">
      <c r="A310" s="214"/>
      <c r="B310" s="214"/>
      <c r="C310" s="216"/>
      <c r="D310" s="216"/>
      <c r="E310" s="213"/>
      <c r="F310" s="213"/>
      <c r="G310" s="213"/>
      <c r="H310" s="213"/>
      <c r="I310" s="213"/>
      <c r="J310" s="213"/>
      <c r="K310" s="213"/>
      <c r="L310" s="213"/>
      <c r="M310" s="205">
        <v>24600</v>
      </c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</row>
    <row r="311" spans="1:84" s="220" customFormat="1" ht="15.75" hidden="1">
      <c r="A311" s="214"/>
      <c r="B311" s="214"/>
      <c r="C311" s="216"/>
      <c r="D311" s="216"/>
      <c r="E311" s="213"/>
      <c r="F311" s="213"/>
      <c r="G311" s="213"/>
      <c r="H311" s="213"/>
      <c r="I311" s="213"/>
      <c r="J311" s="213"/>
      <c r="K311" s="213"/>
      <c r="L311" s="213"/>
      <c r="M311" s="205">
        <v>24700</v>
      </c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</row>
    <row r="312" spans="1:84" s="220" customFormat="1" ht="15.75" hidden="1">
      <c r="A312" s="214"/>
      <c r="B312" s="214"/>
      <c r="C312" s="216"/>
      <c r="D312" s="216"/>
      <c r="E312" s="213"/>
      <c r="F312" s="213"/>
      <c r="G312" s="213"/>
      <c r="H312" s="213"/>
      <c r="I312" s="213"/>
      <c r="J312" s="213"/>
      <c r="K312" s="213"/>
      <c r="L312" s="213"/>
      <c r="M312" s="205">
        <v>24800</v>
      </c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</row>
    <row r="313" spans="1:84" s="220" customFormat="1" ht="15.75" hidden="1">
      <c r="A313" s="214"/>
      <c r="B313" s="214"/>
      <c r="C313" s="216"/>
      <c r="D313" s="216"/>
      <c r="E313" s="213"/>
      <c r="F313" s="213"/>
      <c r="G313" s="213"/>
      <c r="H313" s="213"/>
      <c r="I313" s="213"/>
      <c r="J313" s="213"/>
      <c r="K313" s="213"/>
      <c r="L313" s="213"/>
      <c r="M313" s="205">
        <v>24900</v>
      </c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</row>
    <row r="314" spans="1:84" s="220" customFormat="1" ht="15.75" hidden="1">
      <c r="A314" s="214"/>
      <c r="B314" s="214"/>
      <c r="C314" s="216"/>
      <c r="D314" s="216"/>
      <c r="E314" s="213"/>
      <c r="F314" s="213"/>
      <c r="G314" s="213"/>
      <c r="H314" s="213"/>
      <c r="I314" s="213"/>
      <c r="J314" s="213"/>
      <c r="K314" s="213"/>
      <c r="L314" s="213"/>
      <c r="M314" s="205">
        <v>25000</v>
      </c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</row>
    <row r="315" spans="1:84" s="220" customFormat="1" ht="15.75" hidden="1">
      <c r="A315" s="214"/>
      <c r="B315" s="214"/>
      <c r="C315" s="216"/>
      <c r="D315" s="216"/>
      <c r="E315" s="213"/>
      <c r="F315" s="213"/>
      <c r="G315" s="213"/>
      <c r="H315" s="213"/>
      <c r="I315" s="213"/>
      <c r="J315" s="213"/>
      <c r="K315" s="213"/>
      <c r="L315" s="213"/>
      <c r="M315" s="205">
        <v>25100</v>
      </c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</row>
    <row r="316" spans="1:84" s="220" customFormat="1" ht="15.75" hidden="1">
      <c r="A316" s="214"/>
      <c r="B316" s="214"/>
      <c r="C316" s="216"/>
      <c r="D316" s="216"/>
      <c r="E316" s="213"/>
      <c r="F316" s="213"/>
      <c r="G316" s="213"/>
      <c r="H316" s="213"/>
      <c r="I316" s="213"/>
      <c r="J316" s="213"/>
      <c r="K316" s="213"/>
      <c r="L316" s="213"/>
      <c r="M316" s="205">
        <v>25200</v>
      </c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</row>
    <row r="317" spans="1:84" s="220" customFormat="1" ht="15.75" hidden="1">
      <c r="A317" s="214"/>
      <c r="B317" s="214"/>
      <c r="C317" s="216"/>
      <c r="D317" s="216"/>
      <c r="E317" s="213"/>
      <c r="F317" s="213"/>
      <c r="G317" s="213"/>
      <c r="H317" s="213"/>
      <c r="I317" s="213"/>
      <c r="J317" s="213"/>
      <c r="K317" s="213"/>
      <c r="L317" s="213"/>
      <c r="M317" s="205">
        <v>25300</v>
      </c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</row>
    <row r="318" spans="1:84" s="220" customFormat="1" ht="15.75" hidden="1">
      <c r="A318" s="214"/>
      <c r="B318" s="214"/>
      <c r="C318" s="216"/>
      <c r="D318" s="216"/>
      <c r="E318" s="213"/>
      <c r="F318" s="213"/>
      <c r="G318" s="213"/>
      <c r="H318" s="213"/>
      <c r="I318" s="213"/>
      <c r="J318" s="213"/>
      <c r="K318" s="213"/>
      <c r="L318" s="213"/>
      <c r="M318" s="205">
        <v>25400</v>
      </c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</row>
    <row r="319" spans="1:84" s="220" customFormat="1" ht="15.75" hidden="1">
      <c r="A319" s="214"/>
      <c r="B319" s="214"/>
      <c r="C319" s="216"/>
      <c r="D319" s="216"/>
      <c r="E319" s="213"/>
      <c r="F319" s="213"/>
      <c r="G319" s="213"/>
      <c r="H319" s="213"/>
      <c r="I319" s="213"/>
      <c r="J319" s="213"/>
      <c r="K319" s="213"/>
      <c r="L319" s="213"/>
      <c r="M319" s="205">
        <v>25500</v>
      </c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</row>
    <row r="320" spans="1:84" s="220" customFormat="1" ht="15.75" hidden="1">
      <c r="A320" s="214"/>
      <c r="B320" s="214"/>
      <c r="C320" s="216"/>
      <c r="D320" s="216"/>
      <c r="E320" s="213"/>
      <c r="F320" s="213"/>
      <c r="G320" s="213"/>
      <c r="H320" s="213"/>
      <c r="I320" s="213"/>
      <c r="J320" s="213"/>
      <c r="K320" s="213"/>
      <c r="L320" s="213"/>
      <c r="M320" s="205">
        <v>25600</v>
      </c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</row>
    <row r="321" spans="1:84" s="220" customFormat="1" ht="15.75" hidden="1">
      <c r="A321" s="214"/>
      <c r="B321" s="214"/>
      <c r="C321" s="216"/>
      <c r="D321" s="216"/>
      <c r="E321" s="213"/>
      <c r="F321" s="213"/>
      <c r="G321" s="213"/>
      <c r="H321" s="213"/>
      <c r="I321" s="213"/>
      <c r="J321" s="213"/>
      <c r="K321" s="213"/>
      <c r="L321" s="213"/>
      <c r="M321" s="205">
        <v>25700</v>
      </c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</row>
    <row r="322" spans="1:84" s="220" customFormat="1" ht="15.75" hidden="1">
      <c r="A322" s="214"/>
      <c r="B322" s="214"/>
      <c r="C322" s="216"/>
      <c r="D322" s="216"/>
      <c r="E322" s="213"/>
      <c r="F322" s="213"/>
      <c r="G322" s="213"/>
      <c r="H322" s="213"/>
      <c r="I322" s="213"/>
      <c r="J322" s="213"/>
      <c r="K322" s="213"/>
      <c r="L322" s="213"/>
      <c r="M322" s="205">
        <v>25800</v>
      </c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</row>
    <row r="323" spans="1:84" s="220" customFormat="1" ht="15.75" hidden="1">
      <c r="A323" s="214"/>
      <c r="B323" s="214"/>
      <c r="C323" s="216"/>
      <c r="D323" s="216"/>
      <c r="E323" s="213"/>
      <c r="F323" s="213"/>
      <c r="G323" s="213"/>
      <c r="H323" s="213"/>
      <c r="I323" s="213"/>
      <c r="J323" s="213"/>
      <c r="K323" s="213"/>
      <c r="L323" s="213"/>
      <c r="M323" s="205">
        <v>25900</v>
      </c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</row>
    <row r="324" spans="1:84" s="220" customFormat="1" ht="15.75" hidden="1">
      <c r="A324" s="214"/>
      <c r="B324" s="214"/>
      <c r="C324" s="216"/>
      <c r="D324" s="216"/>
      <c r="E324" s="213"/>
      <c r="F324" s="213"/>
      <c r="G324" s="213"/>
      <c r="H324" s="213"/>
      <c r="I324" s="213"/>
      <c r="J324" s="213"/>
      <c r="K324" s="213"/>
      <c r="L324" s="213"/>
      <c r="M324" s="205">
        <v>26000</v>
      </c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</row>
    <row r="325" spans="1:84" s="220" customFormat="1" ht="15.75" hidden="1">
      <c r="A325" s="214"/>
      <c r="B325" s="214"/>
      <c r="C325" s="216"/>
      <c r="D325" s="216"/>
      <c r="E325" s="213"/>
      <c r="F325" s="213"/>
      <c r="G325" s="213"/>
      <c r="H325" s="213"/>
      <c r="I325" s="213"/>
      <c r="J325" s="213"/>
      <c r="K325" s="213"/>
      <c r="L325" s="213"/>
      <c r="M325" s="205">
        <v>26100</v>
      </c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</row>
    <row r="326" spans="1:84" s="220" customFormat="1" ht="15.75" hidden="1">
      <c r="A326" s="214"/>
      <c r="B326" s="214"/>
      <c r="C326" s="216"/>
      <c r="D326" s="216"/>
      <c r="E326" s="213"/>
      <c r="F326" s="213"/>
      <c r="G326" s="213"/>
      <c r="H326" s="213"/>
      <c r="I326" s="213"/>
      <c r="J326" s="213"/>
      <c r="K326" s="213"/>
      <c r="L326" s="213"/>
      <c r="M326" s="205">
        <v>26200</v>
      </c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</row>
    <row r="327" spans="1:84" s="220" customFormat="1" ht="15.75" hidden="1">
      <c r="A327" s="214"/>
      <c r="B327" s="214"/>
      <c r="C327" s="216"/>
      <c r="D327" s="216"/>
      <c r="E327" s="213"/>
      <c r="F327" s="213"/>
      <c r="G327" s="213"/>
      <c r="H327" s="213"/>
      <c r="I327" s="213"/>
      <c r="J327" s="213"/>
      <c r="K327" s="213"/>
      <c r="L327" s="213"/>
      <c r="M327" s="205">
        <v>26300</v>
      </c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</row>
    <row r="328" spans="1:84" s="220" customFormat="1" ht="15.75" hidden="1">
      <c r="A328" s="214"/>
      <c r="B328" s="214"/>
      <c r="C328" s="216"/>
      <c r="D328" s="216"/>
      <c r="E328" s="213"/>
      <c r="F328" s="213"/>
      <c r="G328" s="213"/>
      <c r="H328" s="213"/>
      <c r="I328" s="213"/>
      <c r="J328" s="213"/>
      <c r="K328" s="213"/>
      <c r="L328" s="213"/>
      <c r="M328" s="205">
        <v>26400</v>
      </c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</row>
    <row r="329" spans="1:84" s="220" customFormat="1" ht="15.75" hidden="1">
      <c r="A329" s="214"/>
      <c r="B329" s="214"/>
      <c r="C329" s="216"/>
      <c r="D329" s="216"/>
      <c r="E329" s="213"/>
      <c r="F329" s="213"/>
      <c r="G329" s="213"/>
      <c r="H329" s="213"/>
      <c r="I329" s="213"/>
      <c r="J329" s="213"/>
      <c r="K329" s="213"/>
      <c r="L329" s="213"/>
      <c r="M329" s="205">
        <v>26500</v>
      </c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</row>
    <row r="330" spans="1:84" s="220" customFormat="1" ht="15.75" hidden="1">
      <c r="A330" s="214"/>
      <c r="B330" s="214"/>
      <c r="C330" s="216"/>
      <c r="D330" s="216"/>
      <c r="E330" s="213"/>
      <c r="F330" s="213"/>
      <c r="G330" s="213"/>
      <c r="H330" s="213"/>
      <c r="I330" s="213"/>
      <c r="J330" s="213"/>
      <c r="K330" s="213"/>
      <c r="L330" s="213"/>
      <c r="M330" s="205">
        <v>26600</v>
      </c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</row>
    <row r="331" spans="1:84" s="220" customFormat="1" ht="15.75" hidden="1">
      <c r="A331" s="214"/>
      <c r="B331" s="214"/>
      <c r="C331" s="216"/>
      <c r="D331" s="216"/>
      <c r="E331" s="213"/>
      <c r="F331" s="213"/>
      <c r="G331" s="213"/>
      <c r="H331" s="213"/>
      <c r="I331" s="213"/>
      <c r="J331" s="213"/>
      <c r="K331" s="213"/>
      <c r="L331" s="213"/>
      <c r="M331" s="205">
        <v>26700</v>
      </c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</row>
    <row r="332" spans="1:84" s="220" customFormat="1" ht="15.75" hidden="1">
      <c r="A332" s="214"/>
      <c r="B332" s="214"/>
      <c r="C332" s="216"/>
      <c r="D332" s="216"/>
      <c r="E332" s="213"/>
      <c r="F332" s="213"/>
      <c r="G332" s="213"/>
      <c r="H332" s="213"/>
      <c r="I332" s="213"/>
      <c r="J332" s="213"/>
      <c r="K332" s="213"/>
      <c r="L332" s="213"/>
      <c r="M332" s="205">
        <v>26800</v>
      </c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</row>
    <row r="333" spans="1:84" s="220" customFormat="1" ht="15.75" hidden="1">
      <c r="A333" s="214"/>
      <c r="B333" s="214"/>
      <c r="C333" s="216"/>
      <c r="D333" s="216"/>
      <c r="E333" s="213"/>
      <c r="F333" s="213"/>
      <c r="G333" s="213"/>
      <c r="H333" s="213"/>
      <c r="I333" s="213"/>
      <c r="J333" s="213"/>
      <c r="K333" s="213"/>
      <c r="L333" s="213"/>
      <c r="M333" s="205">
        <v>26900</v>
      </c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</row>
    <row r="334" spans="1:84" s="220" customFormat="1" ht="15.75" hidden="1">
      <c r="A334" s="214"/>
      <c r="B334" s="214"/>
      <c r="C334" s="216"/>
      <c r="D334" s="216"/>
      <c r="E334" s="213"/>
      <c r="F334" s="213"/>
      <c r="G334" s="213"/>
      <c r="H334" s="213"/>
      <c r="I334" s="213"/>
      <c r="J334" s="213"/>
      <c r="K334" s="213"/>
      <c r="L334" s="213"/>
      <c r="M334" s="205">
        <v>27000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</row>
    <row r="335" spans="1:84" s="220" customFormat="1" ht="15.75" hidden="1">
      <c r="A335" s="214"/>
      <c r="B335" s="214"/>
      <c r="C335" s="216"/>
      <c r="D335" s="216"/>
      <c r="E335" s="213"/>
      <c r="F335" s="213"/>
      <c r="G335" s="213"/>
      <c r="H335" s="213"/>
      <c r="I335" s="213"/>
      <c r="J335" s="213"/>
      <c r="K335" s="213"/>
      <c r="L335" s="213"/>
      <c r="M335" s="205">
        <v>27100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</row>
    <row r="336" spans="1:84" s="220" customFormat="1" ht="15.75" hidden="1">
      <c r="A336" s="214"/>
      <c r="B336" s="214"/>
      <c r="C336" s="216"/>
      <c r="D336" s="216"/>
      <c r="E336" s="213"/>
      <c r="F336" s="213"/>
      <c r="G336" s="213"/>
      <c r="H336" s="213"/>
      <c r="I336" s="213"/>
      <c r="J336" s="213"/>
      <c r="K336" s="213"/>
      <c r="L336" s="213"/>
      <c r="M336" s="205">
        <v>27200</v>
      </c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</row>
    <row r="337" spans="1:84" s="220" customFormat="1" ht="15.75" hidden="1">
      <c r="A337" s="214"/>
      <c r="B337" s="214"/>
      <c r="C337" s="216"/>
      <c r="D337" s="216"/>
      <c r="E337" s="213"/>
      <c r="F337" s="213"/>
      <c r="G337" s="213"/>
      <c r="H337" s="213"/>
      <c r="I337" s="213"/>
      <c r="J337" s="213"/>
      <c r="K337" s="213"/>
      <c r="L337" s="213"/>
      <c r="M337" s="205">
        <v>27300</v>
      </c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</row>
    <row r="338" spans="1:84" s="220" customFormat="1" ht="15.75" hidden="1">
      <c r="A338" s="214"/>
      <c r="B338" s="214"/>
      <c r="C338" s="216"/>
      <c r="D338" s="216"/>
      <c r="E338" s="213"/>
      <c r="F338" s="213"/>
      <c r="G338" s="213"/>
      <c r="H338" s="213"/>
      <c r="I338" s="213"/>
      <c r="J338" s="213"/>
      <c r="K338" s="213"/>
      <c r="L338" s="213"/>
      <c r="M338" s="205">
        <v>27400</v>
      </c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</row>
    <row r="339" spans="1:84" s="220" customFormat="1" ht="15.75" hidden="1">
      <c r="A339" s="214"/>
      <c r="B339" s="214"/>
      <c r="C339" s="216"/>
      <c r="D339" s="216"/>
      <c r="E339" s="213"/>
      <c r="F339" s="213"/>
      <c r="G339" s="213"/>
      <c r="H339" s="213"/>
      <c r="I339" s="213"/>
      <c r="J339" s="213"/>
      <c r="K339" s="213"/>
      <c r="L339" s="213"/>
      <c r="M339" s="205">
        <v>27500</v>
      </c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</row>
    <row r="340" spans="1:84" s="220" customFormat="1" ht="15.75" hidden="1">
      <c r="A340" s="214"/>
      <c r="B340" s="214"/>
      <c r="C340" s="216"/>
      <c r="D340" s="216"/>
      <c r="E340" s="213"/>
      <c r="F340" s="213"/>
      <c r="G340" s="213"/>
      <c r="H340" s="213"/>
      <c r="I340" s="213"/>
      <c r="J340" s="213"/>
      <c r="K340" s="213"/>
      <c r="L340" s="213"/>
      <c r="M340" s="205">
        <v>27600</v>
      </c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</row>
    <row r="341" spans="1:84" s="220" customFormat="1" ht="15.75" hidden="1">
      <c r="A341" s="214"/>
      <c r="B341" s="214"/>
      <c r="C341" s="216"/>
      <c r="D341" s="216"/>
      <c r="E341" s="213"/>
      <c r="F341" s="213"/>
      <c r="G341" s="213"/>
      <c r="H341" s="213"/>
      <c r="I341" s="213"/>
      <c r="J341" s="213"/>
      <c r="K341" s="213"/>
      <c r="L341" s="213"/>
      <c r="M341" s="205">
        <v>27700</v>
      </c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</row>
    <row r="342" spans="1:84" s="220" customFormat="1" ht="15.75" hidden="1">
      <c r="A342" s="214"/>
      <c r="B342" s="214"/>
      <c r="C342" s="216"/>
      <c r="D342" s="216"/>
      <c r="E342" s="213"/>
      <c r="F342" s="213"/>
      <c r="G342" s="213"/>
      <c r="H342" s="213"/>
      <c r="I342" s="213"/>
      <c r="J342" s="213"/>
      <c r="K342" s="213"/>
      <c r="L342" s="213"/>
      <c r="M342" s="205">
        <v>27800</v>
      </c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</row>
    <row r="343" spans="1:84" s="220" customFormat="1" ht="15.75" hidden="1">
      <c r="A343" s="214"/>
      <c r="B343" s="214"/>
      <c r="C343" s="216"/>
      <c r="D343" s="216"/>
      <c r="E343" s="213"/>
      <c r="F343" s="213"/>
      <c r="G343" s="213"/>
      <c r="H343" s="213"/>
      <c r="I343" s="213"/>
      <c r="J343" s="213"/>
      <c r="K343" s="213"/>
      <c r="L343" s="213"/>
      <c r="M343" s="205">
        <v>27900</v>
      </c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</row>
    <row r="344" spans="1:84" s="220" customFormat="1" ht="15.75" hidden="1">
      <c r="A344" s="214"/>
      <c r="B344" s="214"/>
      <c r="C344" s="216"/>
      <c r="D344" s="216"/>
      <c r="E344" s="213"/>
      <c r="F344" s="213"/>
      <c r="G344" s="213"/>
      <c r="H344" s="213"/>
      <c r="I344" s="213"/>
      <c r="J344" s="213"/>
      <c r="K344" s="213"/>
      <c r="L344" s="213"/>
      <c r="M344" s="205">
        <v>28000</v>
      </c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</row>
    <row r="345" spans="1:84" s="220" customFormat="1" ht="15.75" hidden="1">
      <c r="A345" s="214"/>
      <c r="B345" s="214"/>
      <c r="C345" s="216"/>
      <c r="D345" s="216"/>
      <c r="E345" s="213"/>
      <c r="F345" s="213"/>
      <c r="G345" s="213"/>
      <c r="H345" s="213"/>
      <c r="I345" s="213"/>
      <c r="J345" s="213"/>
      <c r="K345" s="213"/>
      <c r="L345" s="213"/>
      <c r="M345" s="205">
        <v>28100</v>
      </c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</row>
    <row r="346" spans="1:84" s="220" customFormat="1" ht="15.75" hidden="1">
      <c r="A346" s="214"/>
      <c r="B346" s="214"/>
      <c r="C346" s="216"/>
      <c r="D346" s="216"/>
      <c r="E346" s="213"/>
      <c r="F346" s="213"/>
      <c r="G346" s="213"/>
      <c r="H346" s="213"/>
      <c r="I346" s="213"/>
      <c r="J346" s="213"/>
      <c r="K346" s="213"/>
      <c r="L346" s="213"/>
      <c r="M346" s="205">
        <v>28200</v>
      </c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</row>
    <row r="347" spans="1:84" s="220" customFormat="1" ht="15.75" hidden="1">
      <c r="A347" s="214"/>
      <c r="B347" s="214"/>
      <c r="C347" s="216"/>
      <c r="D347" s="216"/>
      <c r="E347" s="213"/>
      <c r="F347" s="213"/>
      <c r="G347" s="213"/>
      <c r="H347" s="213"/>
      <c r="I347" s="213"/>
      <c r="J347" s="213"/>
      <c r="K347" s="213"/>
      <c r="L347" s="213"/>
      <c r="M347" s="205">
        <v>28300</v>
      </c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</row>
    <row r="348" spans="1:84" s="220" customFormat="1" ht="15.75" hidden="1">
      <c r="A348" s="214"/>
      <c r="B348" s="214"/>
      <c r="C348" s="216"/>
      <c r="D348" s="216"/>
      <c r="E348" s="213"/>
      <c r="F348" s="213"/>
      <c r="G348" s="213"/>
      <c r="H348" s="213"/>
      <c r="I348" s="213"/>
      <c r="J348" s="213"/>
      <c r="K348" s="213"/>
      <c r="L348" s="213"/>
      <c r="M348" s="205">
        <v>28400</v>
      </c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</row>
    <row r="349" spans="1:84" s="220" customFormat="1" ht="15.75" hidden="1">
      <c r="A349" s="214"/>
      <c r="B349" s="214"/>
      <c r="C349" s="216"/>
      <c r="D349" s="216"/>
      <c r="E349" s="213"/>
      <c r="F349" s="213"/>
      <c r="G349" s="213"/>
      <c r="H349" s="213"/>
      <c r="I349" s="213"/>
      <c r="J349" s="213"/>
      <c r="K349" s="213"/>
      <c r="L349" s="213"/>
      <c r="M349" s="205">
        <v>28500</v>
      </c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</row>
    <row r="350" spans="1:84" s="220" customFormat="1" ht="15.75" hidden="1">
      <c r="A350" s="214"/>
      <c r="B350" s="214"/>
      <c r="C350" s="216"/>
      <c r="D350" s="216"/>
      <c r="E350" s="213"/>
      <c r="F350" s="213"/>
      <c r="G350" s="213"/>
      <c r="H350" s="213"/>
      <c r="I350" s="213"/>
      <c r="J350" s="213"/>
      <c r="K350" s="213"/>
      <c r="L350" s="213"/>
      <c r="M350" s="205">
        <v>28600</v>
      </c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</row>
    <row r="351" spans="1:84" s="220" customFormat="1" ht="15.75" hidden="1">
      <c r="A351" s="214"/>
      <c r="B351" s="214"/>
      <c r="C351" s="216"/>
      <c r="D351" s="216"/>
      <c r="E351" s="213"/>
      <c r="F351" s="213"/>
      <c r="G351" s="213"/>
      <c r="H351" s="213"/>
      <c r="I351" s="213"/>
      <c r="J351" s="213"/>
      <c r="K351" s="213"/>
      <c r="L351" s="213"/>
      <c r="M351" s="205">
        <v>28700</v>
      </c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</row>
    <row r="352" spans="1:84" s="220" customFormat="1" ht="15.75" hidden="1">
      <c r="A352" s="214"/>
      <c r="B352" s="214"/>
      <c r="C352" s="216"/>
      <c r="D352" s="216"/>
      <c r="E352" s="213"/>
      <c r="F352" s="213"/>
      <c r="G352" s="213"/>
      <c r="H352" s="213"/>
      <c r="I352" s="213"/>
      <c r="J352" s="213"/>
      <c r="K352" s="213"/>
      <c r="L352" s="213"/>
      <c r="M352" s="205">
        <v>28800</v>
      </c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</row>
    <row r="353" spans="1:84" s="220" customFormat="1" ht="15.75" hidden="1">
      <c r="A353" s="214"/>
      <c r="B353" s="214"/>
      <c r="C353" s="216"/>
      <c r="D353" s="216"/>
      <c r="E353" s="213"/>
      <c r="F353" s="213"/>
      <c r="G353" s="213"/>
      <c r="H353" s="213"/>
      <c r="I353" s="213"/>
      <c r="J353" s="213"/>
      <c r="K353" s="213"/>
      <c r="L353" s="213"/>
      <c r="M353" s="205">
        <v>28900</v>
      </c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</row>
    <row r="354" spans="1:84" s="220" customFormat="1" ht="15.75" hidden="1">
      <c r="A354" s="214"/>
      <c r="B354" s="214"/>
      <c r="C354" s="216"/>
      <c r="D354" s="216"/>
      <c r="E354" s="213"/>
      <c r="F354" s="213"/>
      <c r="G354" s="213"/>
      <c r="H354" s="213"/>
      <c r="I354" s="213"/>
      <c r="J354" s="213"/>
      <c r="K354" s="213"/>
      <c r="L354" s="213"/>
      <c r="M354" s="205">
        <v>29000</v>
      </c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</row>
    <row r="355" spans="1:84" s="220" customFormat="1" ht="15.75" hidden="1">
      <c r="A355" s="214"/>
      <c r="B355" s="214"/>
      <c r="C355" s="216"/>
      <c r="D355" s="216"/>
      <c r="E355" s="213"/>
      <c r="F355" s="213"/>
      <c r="G355" s="213"/>
      <c r="H355" s="213"/>
      <c r="I355" s="213"/>
      <c r="J355" s="213"/>
      <c r="K355" s="213"/>
      <c r="L355" s="213"/>
      <c r="M355" s="205">
        <v>29100</v>
      </c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</row>
    <row r="356" spans="1:84" s="220" customFormat="1" ht="15.75" hidden="1">
      <c r="A356" s="214"/>
      <c r="B356" s="214"/>
      <c r="C356" s="216"/>
      <c r="D356" s="216"/>
      <c r="E356" s="213"/>
      <c r="F356" s="213"/>
      <c r="G356" s="213"/>
      <c r="H356" s="213"/>
      <c r="I356" s="213"/>
      <c r="J356" s="213"/>
      <c r="K356" s="213"/>
      <c r="L356" s="213"/>
      <c r="M356" s="205">
        <v>29200</v>
      </c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</row>
    <row r="357" spans="1:84" s="220" customFormat="1" ht="15.75" hidden="1">
      <c r="A357" s="214"/>
      <c r="B357" s="214"/>
      <c r="C357" s="216"/>
      <c r="D357" s="216"/>
      <c r="E357" s="213"/>
      <c r="F357" s="213"/>
      <c r="G357" s="213"/>
      <c r="H357" s="213"/>
      <c r="I357" s="213"/>
      <c r="J357" s="213"/>
      <c r="K357" s="213"/>
      <c r="L357" s="213"/>
      <c r="M357" s="205">
        <v>29300</v>
      </c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</row>
    <row r="358" spans="1:84" s="220" customFormat="1" ht="15.75" hidden="1">
      <c r="A358" s="214"/>
      <c r="B358" s="214"/>
      <c r="C358" s="216"/>
      <c r="D358" s="216"/>
      <c r="E358" s="213"/>
      <c r="F358" s="213"/>
      <c r="G358" s="213"/>
      <c r="H358" s="213"/>
      <c r="I358" s="213"/>
      <c r="J358" s="213"/>
      <c r="K358" s="213"/>
      <c r="L358" s="213"/>
      <c r="M358" s="205">
        <v>29400</v>
      </c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</row>
    <row r="359" spans="1:84" s="220" customFormat="1" ht="15.75" hidden="1">
      <c r="A359" s="214"/>
      <c r="B359" s="214"/>
      <c r="C359" s="216"/>
      <c r="D359" s="216"/>
      <c r="E359" s="213"/>
      <c r="F359" s="213"/>
      <c r="G359" s="213"/>
      <c r="H359" s="213"/>
      <c r="I359" s="213"/>
      <c r="J359" s="213"/>
      <c r="K359" s="213"/>
      <c r="L359" s="213"/>
      <c r="M359" s="205">
        <v>29500</v>
      </c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</row>
    <row r="360" spans="1:84" s="220" customFormat="1" ht="15.75" hidden="1">
      <c r="A360" s="214"/>
      <c r="B360" s="214"/>
      <c r="C360" s="216"/>
      <c r="D360" s="216"/>
      <c r="E360" s="213"/>
      <c r="F360" s="213"/>
      <c r="G360" s="213"/>
      <c r="H360" s="213"/>
      <c r="I360" s="213"/>
      <c r="J360" s="213"/>
      <c r="K360" s="213"/>
      <c r="L360" s="213"/>
      <c r="M360" s="205">
        <v>29600</v>
      </c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</row>
    <row r="361" spans="1:84" s="220" customFormat="1" ht="15.75" hidden="1">
      <c r="A361" s="214"/>
      <c r="B361" s="214"/>
      <c r="C361" s="216"/>
      <c r="D361" s="216"/>
      <c r="E361" s="213"/>
      <c r="F361" s="213"/>
      <c r="G361" s="213"/>
      <c r="H361" s="213"/>
      <c r="I361" s="213"/>
      <c r="J361" s="213"/>
      <c r="K361" s="213"/>
      <c r="L361" s="213"/>
      <c r="M361" s="205">
        <v>29700</v>
      </c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</row>
    <row r="362" spans="1:84" s="220" customFormat="1" ht="15.75" hidden="1">
      <c r="A362" s="214"/>
      <c r="B362" s="214"/>
      <c r="C362" s="216"/>
      <c r="D362" s="216"/>
      <c r="E362" s="213"/>
      <c r="F362" s="213"/>
      <c r="G362" s="213"/>
      <c r="H362" s="213"/>
      <c r="I362" s="213"/>
      <c r="J362" s="213"/>
      <c r="K362" s="213"/>
      <c r="L362" s="213"/>
      <c r="M362" s="205">
        <v>29800</v>
      </c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</row>
    <row r="363" spans="1:84" s="220" customFormat="1" ht="15.75" hidden="1">
      <c r="A363" s="214"/>
      <c r="B363" s="214"/>
      <c r="C363" s="216"/>
      <c r="D363" s="216"/>
      <c r="E363" s="213"/>
      <c r="F363" s="213"/>
      <c r="G363" s="213"/>
      <c r="H363" s="213"/>
      <c r="I363" s="213"/>
      <c r="J363" s="213"/>
      <c r="K363" s="213"/>
      <c r="L363" s="213"/>
      <c r="M363" s="205">
        <v>29900</v>
      </c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</row>
    <row r="364" spans="1:84" s="220" customFormat="1" ht="15.75" hidden="1">
      <c r="A364" s="214"/>
      <c r="B364" s="214"/>
      <c r="C364" s="216"/>
      <c r="D364" s="216"/>
      <c r="E364" s="213"/>
      <c r="F364" s="213"/>
      <c r="G364" s="213"/>
      <c r="H364" s="213"/>
      <c r="I364" s="213"/>
      <c r="J364" s="213"/>
      <c r="K364" s="213"/>
      <c r="L364" s="213"/>
      <c r="M364" s="205">
        <v>30000</v>
      </c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</row>
    <row r="365" spans="1:84" s="220" customFormat="1" ht="15.75" hidden="1">
      <c r="A365" s="214"/>
      <c r="B365" s="214"/>
      <c r="C365" s="216"/>
      <c r="D365" s="216"/>
      <c r="E365" s="213"/>
      <c r="F365" s="213"/>
      <c r="G365" s="213"/>
      <c r="H365" s="213"/>
      <c r="I365" s="213"/>
      <c r="J365" s="213"/>
      <c r="K365" s="213"/>
      <c r="L365" s="213"/>
      <c r="M365" s="205">
        <v>30100</v>
      </c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</row>
    <row r="366" spans="1:84" s="220" customFormat="1" ht="15.75" hidden="1">
      <c r="A366" s="214"/>
      <c r="B366" s="214"/>
      <c r="C366" s="216"/>
      <c r="D366" s="216"/>
      <c r="E366" s="213"/>
      <c r="F366" s="213"/>
      <c r="G366" s="213"/>
      <c r="H366" s="213"/>
      <c r="I366" s="213"/>
      <c r="J366" s="213"/>
      <c r="K366" s="213"/>
      <c r="L366" s="213"/>
      <c r="M366" s="205">
        <v>30200</v>
      </c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</row>
    <row r="367" spans="1:84" s="220" customFormat="1" ht="15.75" hidden="1">
      <c r="A367" s="214"/>
      <c r="B367" s="214"/>
      <c r="C367" s="216"/>
      <c r="D367" s="216"/>
      <c r="E367" s="213"/>
      <c r="F367" s="213"/>
      <c r="G367" s="213"/>
      <c r="H367" s="213"/>
      <c r="I367" s="213"/>
      <c r="J367" s="213"/>
      <c r="K367" s="213"/>
      <c r="L367" s="213"/>
      <c r="M367" s="205">
        <v>30300</v>
      </c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</row>
    <row r="368" spans="1:84" s="220" customFormat="1" ht="15.75" hidden="1">
      <c r="A368" s="214"/>
      <c r="B368" s="214"/>
      <c r="C368" s="216"/>
      <c r="D368" s="216"/>
      <c r="E368" s="213"/>
      <c r="F368" s="213"/>
      <c r="G368" s="213"/>
      <c r="H368" s="213"/>
      <c r="I368" s="213"/>
      <c r="J368" s="213"/>
      <c r="K368" s="213"/>
      <c r="L368" s="213"/>
      <c r="M368" s="205">
        <v>30400</v>
      </c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</row>
    <row r="369" spans="1:84" s="220" customFormat="1" ht="15.75" hidden="1">
      <c r="A369" s="214"/>
      <c r="B369" s="214"/>
      <c r="C369" s="216"/>
      <c r="D369" s="216"/>
      <c r="E369" s="213"/>
      <c r="F369" s="213"/>
      <c r="G369" s="213"/>
      <c r="H369" s="213"/>
      <c r="I369" s="213"/>
      <c r="J369" s="213"/>
      <c r="K369" s="213"/>
      <c r="L369" s="213"/>
      <c r="M369" s="205">
        <v>30500</v>
      </c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</row>
    <row r="370" spans="1:84" s="220" customFormat="1" ht="15.75" hidden="1">
      <c r="A370" s="214"/>
      <c r="B370" s="214"/>
      <c r="C370" s="216"/>
      <c r="D370" s="216"/>
      <c r="E370" s="213"/>
      <c r="F370" s="213"/>
      <c r="G370" s="213"/>
      <c r="H370" s="213"/>
      <c r="I370" s="213"/>
      <c r="J370" s="213"/>
      <c r="K370" s="213"/>
      <c r="L370" s="213"/>
      <c r="M370" s="205">
        <v>30600</v>
      </c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</row>
    <row r="371" spans="1:84" s="220" customFormat="1" ht="15.75" hidden="1">
      <c r="A371" s="214"/>
      <c r="B371" s="214"/>
      <c r="C371" s="216"/>
      <c r="D371" s="216"/>
      <c r="E371" s="213"/>
      <c r="F371" s="213"/>
      <c r="G371" s="213"/>
      <c r="H371" s="213"/>
      <c r="I371" s="213"/>
      <c r="J371" s="213"/>
      <c r="K371" s="213"/>
      <c r="L371" s="213"/>
      <c r="M371" s="205">
        <v>30700</v>
      </c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</row>
    <row r="372" spans="1:84" s="220" customFormat="1" ht="15.75" hidden="1">
      <c r="A372" s="214"/>
      <c r="B372" s="214"/>
      <c r="C372" s="216"/>
      <c r="D372" s="216"/>
      <c r="E372" s="213"/>
      <c r="F372" s="213"/>
      <c r="G372" s="213"/>
      <c r="H372" s="213"/>
      <c r="I372" s="213"/>
      <c r="J372" s="213"/>
      <c r="K372" s="213"/>
      <c r="L372" s="213"/>
      <c r="M372" s="205">
        <v>30800</v>
      </c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</row>
    <row r="373" spans="1:84" s="220" customFormat="1" ht="15.75" hidden="1">
      <c r="A373" s="214"/>
      <c r="B373" s="214"/>
      <c r="C373" s="216"/>
      <c r="D373" s="216"/>
      <c r="E373" s="213"/>
      <c r="F373" s="213"/>
      <c r="G373" s="213"/>
      <c r="H373" s="213"/>
      <c r="I373" s="213"/>
      <c r="J373" s="213"/>
      <c r="K373" s="213"/>
      <c r="L373" s="213"/>
      <c r="M373" s="205">
        <v>30900</v>
      </c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</row>
    <row r="374" spans="1:84" s="220" customFormat="1" ht="15.75" hidden="1">
      <c r="A374" s="214"/>
      <c r="B374" s="214"/>
      <c r="C374" s="216"/>
      <c r="D374" s="216"/>
      <c r="E374" s="213"/>
      <c r="F374" s="213"/>
      <c r="G374" s="213"/>
      <c r="H374" s="213"/>
      <c r="I374" s="213"/>
      <c r="J374" s="213"/>
      <c r="K374" s="213"/>
      <c r="L374" s="213"/>
      <c r="M374" s="205">
        <v>31000</v>
      </c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</row>
    <row r="375" spans="1:84" s="220" customFormat="1" ht="15.75" hidden="1">
      <c r="A375" s="214"/>
      <c r="B375" s="214"/>
      <c r="C375" s="216"/>
      <c r="D375" s="216"/>
      <c r="E375" s="213"/>
      <c r="F375" s="213"/>
      <c r="G375" s="213"/>
      <c r="H375" s="213"/>
      <c r="I375" s="213"/>
      <c r="J375" s="213"/>
      <c r="K375" s="213"/>
      <c r="L375" s="213"/>
      <c r="M375" s="205">
        <v>31100</v>
      </c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</row>
    <row r="376" spans="1:84" s="220" customFormat="1" ht="15.75" hidden="1">
      <c r="A376" s="214"/>
      <c r="B376" s="214"/>
      <c r="C376" s="216"/>
      <c r="D376" s="216"/>
      <c r="E376" s="213"/>
      <c r="F376" s="213"/>
      <c r="G376" s="213"/>
      <c r="H376" s="213"/>
      <c r="I376" s="213"/>
      <c r="J376" s="213"/>
      <c r="K376" s="213"/>
      <c r="L376" s="213"/>
      <c r="M376" s="205">
        <v>31200</v>
      </c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</row>
    <row r="377" spans="1:84" s="220" customFormat="1" ht="15.75" hidden="1">
      <c r="A377" s="214"/>
      <c r="B377" s="214"/>
      <c r="C377" s="216"/>
      <c r="D377" s="216"/>
      <c r="E377" s="213"/>
      <c r="F377" s="213"/>
      <c r="G377" s="213"/>
      <c r="H377" s="213"/>
      <c r="I377" s="213"/>
      <c r="J377" s="213"/>
      <c r="K377" s="213"/>
      <c r="L377" s="213"/>
      <c r="M377" s="205">
        <v>31300</v>
      </c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</row>
    <row r="378" spans="1:84" s="220" customFormat="1" ht="15.75" hidden="1">
      <c r="A378" s="214"/>
      <c r="B378" s="214"/>
      <c r="C378" s="216"/>
      <c r="D378" s="216"/>
      <c r="E378" s="213"/>
      <c r="F378" s="213"/>
      <c r="G378" s="213"/>
      <c r="H378" s="213"/>
      <c r="I378" s="213"/>
      <c r="J378" s="213"/>
      <c r="K378" s="213"/>
      <c r="L378" s="213"/>
      <c r="M378" s="205">
        <v>31400</v>
      </c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</row>
    <row r="379" spans="1:84" s="220" customFormat="1" ht="15.75" hidden="1">
      <c r="A379" s="214"/>
      <c r="B379" s="214"/>
      <c r="C379" s="216"/>
      <c r="D379" s="216"/>
      <c r="E379" s="213"/>
      <c r="F379" s="213"/>
      <c r="G379" s="213"/>
      <c r="H379" s="213"/>
      <c r="I379" s="213"/>
      <c r="J379" s="213"/>
      <c r="K379" s="213"/>
      <c r="L379" s="213"/>
      <c r="M379" s="205">
        <v>31500</v>
      </c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</row>
    <row r="380" spans="1:84" s="220" customFormat="1" ht="15.75" hidden="1">
      <c r="A380" s="214"/>
      <c r="B380" s="214"/>
      <c r="C380" s="216"/>
      <c r="D380" s="216"/>
      <c r="E380" s="213"/>
      <c r="F380" s="213"/>
      <c r="G380" s="213"/>
      <c r="H380" s="213"/>
      <c r="I380" s="213"/>
      <c r="J380" s="213"/>
      <c r="K380" s="213"/>
      <c r="L380" s="213"/>
      <c r="M380" s="205">
        <v>31600</v>
      </c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</row>
    <row r="381" spans="1:84" s="220" customFormat="1" ht="15.75" hidden="1">
      <c r="A381" s="214"/>
      <c r="B381" s="214"/>
      <c r="C381" s="216"/>
      <c r="D381" s="216"/>
      <c r="E381" s="213"/>
      <c r="F381" s="213"/>
      <c r="G381" s="213"/>
      <c r="H381" s="213"/>
      <c r="I381" s="213"/>
      <c r="J381" s="213"/>
      <c r="K381" s="213"/>
      <c r="L381" s="213"/>
      <c r="M381" s="205">
        <v>31700</v>
      </c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</row>
    <row r="382" spans="1:84" s="220" customFormat="1" ht="15.75" hidden="1">
      <c r="A382" s="214"/>
      <c r="B382" s="214"/>
      <c r="C382" s="216"/>
      <c r="D382" s="216"/>
      <c r="E382" s="213"/>
      <c r="F382" s="213"/>
      <c r="G382" s="213"/>
      <c r="H382" s="213"/>
      <c r="I382" s="213"/>
      <c r="J382" s="213"/>
      <c r="K382" s="213"/>
      <c r="L382" s="213"/>
      <c r="M382" s="205">
        <v>31800</v>
      </c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</row>
    <row r="383" spans="1:84" s="220" customFormat="1" ht="15.75" hidden="1">
      <c r="A383" s="214"/>
      <c r="B383" s="214"/>
      <c r="C383" s="216"/>
      <c r="D383" s="216"/>
      <c r="E383" s="213"/>
      <c r="F383" s="213"/>
      <c r="G383" s="213"/>
      <c r="H383" s="213"/>
      <c r="I383" s="213"/>
      <c r="J383" s="213"/>
      <c r="K383" s="213"/>
      <c r="L383" s="213"/>
      <c r="M383" s="205">
        <v>31900</v>
      </c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</row>
    <row r="384" spans="1:84" s="220" customFormat="1" ht="15.75" hidden="1">
      <c r="A384" s="214"/>
      <c r="B384" s="214"/>
      <c r="C384" s="216"/>
      <c r="D384" s="216"/>
      <c r="E384" s="213"/>
      <c r="F384" s="213"/>
      <c r="G384" s="213"/>
      <c r="H384" s="213"/>
      <c r="I384" s="213"/>
      <c r="J384" s="213"/>
      <c r="K384" s="213"/>
      <c r="L384" s="213"/>
      <c r="M384" s="205">
        <v>32000</v>
      </c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</row>
    <row r="385" spans="1:84" s="220" customFormat="1" ht="15.75" hidden="1">
      <c r="A385" s="206"/>
      <c r="B385" s="214"/>
      <c r="C385" s="216"/>
      <c r="D385" s="216"/>
      <c r="E385" s="213"/>
      <c r="F385" s="213"/>
      <c r="G385" s="213"/>
      <c r="H385" s="213"/>
      <c r="I385" s="213"/>
      <c r="J385" s="213"/>
      <c r="K385" s="213"/>
      <c r="L385" s="213"/>
      <c r="M385" s="205">
        <v>32100</v>
      </c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</row>
    <row r="386" spans="1:84" s="220" customFormat="1" ht="15.75" hidden="1">
      <c r="A386" s="206"/>
      <c r="B386" s="214"/>
      <c r="C386" s="216"/>
      <c r="D386" s="216"/>
      <c r="E386" s="213"/>
      <c r="F386" s="213"/>
      <c r="G386" s="213"/>
      <c r="H386" s="213"/>
      <c r="I386" s="213"/>
      <c r="J386" s="213"/>
      <c r="K386" s="213"/>
      <c r="L386" s="213"/>
      <c r="M386" s="205">
        <v>32200</v>
      </c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</row>
    <row r="387" spans="1:84" s="220" customFormat="1" ht="15.75" hidden="1">
      <c r="A387" s="206"/>
      <c r="B387" s="214"/>
      <c r="C387" s="216"/>
      <c r="D387" s="216"/>
      <c r="E387" s="213"/>
      <c r="F387" s="213"/>
      <c r="G387" s="213"/>
      <c r="H387" s="213"/>
      <c r="I387" s="213"/>
      <c r="J387" s="213"/>
      <c r="K387" s="213"/>
      <c r="L387" s="213"/>
      <c r="M387" s="205">
        <v>32300</v>
      </c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</row>
    <row r="388" spans="1:84" s="220" customFormat="1" ht="15.75" hidden="1">
      <c r="A388" s="206"/>
      <c r="B388" s="214"/>
      <c r="C388" s="216"/>
      <c r="D388" s="216"/>
      <c r="E388" s="213"/>
      <c r="F388" s="213"/>
      <c r="G388" s="213"/>
      <c r="H388" s="213"/>
      <c r="I388" s="213"/>
      <c r="J388" s="213"/>
      <c r="K388" s="213"/>
      <c r="L388" s="213"/>
      <c r="M388" s="205">
        <v>32400</v>
      </c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</row>
    <row r="389" spans="1:84" s="220" customFormat="1" ht="15.75" hidden="1">
      <c r="A389" s="206"/>
      <c r="B389" s="214"/>
      <c r="C389" s="216"/>
      <c r="D389" s="216"/>
      <c r="E389" s="213"/>
      <c r="F389" s="213"/>
      <c r="G389" s="213"/>
      <c r="H389" s="213"/>
      <c r="I389" s="213"/>
      <c r="J389" s="213"/>
      <c r="K389" s="213"/>
      <c r="L389" s="213"/>
      <c r="M389" s="205">
        <v>32500</v>
      </c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</row>
    <row r="390" spans="1:84" s="220" customFormat="1" ht="15.75" hidden="1">
      <c r="A390" s="206"/>
      <c r="B390" s="214"/>
      <c r="C390" s="216"/>
      <c r="D390" s="216"/>
      <c r="E390" s="213"/>
      <c r="F390" s="213"/>
      <c r="G390" s="213"/>
      <c r="H390" s="213"/>
      <c r="I390" s="213"/>
      <c r="J390" s="213"/>
      <c r="K390" s="213"/>
      <c r="L390" s="213"/>
      <c r="M390" s="205">
        <v>32600</v>
      </c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</row>
    <row r="391" spans="1:84" s="220" customFormat="1" ht="15.75" hidden="1">
      <c r="A391" s="206"/>
      <c r="B391" s="214"/>
      <c r="C391" s="216"/>
      <c r="D391" s="216"/>
      <c r="E391" s="213"/>
      <c r="F391" s="213"/>
      <c r="G391" s="213"/>
      <c r="H391" s="213"/>
      <c r="I391" s="213"/>
      <c r="J391" s="213"/>
      <c r="K391" s="213"/>
      <c r="L391" s="213"/>
      <c r="M391" s="205">
        <v>32700</v>
      </c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</row>
    <row r="392" spans="1:84" s="220" customFormat="1" ht="15.75" hidden="1">
      <c r="A392" s="206"/>
      <c r="B392" s="214"/>
      <c r="C392" s="216"/>
      <c r="D392" s="216"/>
      <c r="E392" s="213"/>
      <c r="F392" s="213"/>
      <c r="G392" s="213"/>
      <c r="H392" s="213"/>
      <c r="I392" s="213"/>
      <c r="J392" s="213"/>
      <c r="K392" s="213"/>
      <c r="L392" s="213"/>
      <c r="M392" s="205">
        <v>32800</v>
      </c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</row>
    <row r="393" spans="1:84" s="220" customFormat="1" ht="15.75" hidden="1">
      <c r="A393" s="206"/>
      <c r="B393" s="214"/>
      <c r="C393" s="216"/>
      <c r="D393" s="216"/>
      <c r="E393" s="213"/>
      <c r="F393" s="213"/>
      <c r="G393" s="213"/>
      <c r="H393" s="213"/>
      <c r="I393" s="213"/>
      <c r="J393" s="213"/>
      <c r="K393" s="213"/>
      <c r="L393" s="213"/>
      <c r="M393" s="205">
        <v>32900</v>
      </c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</row>
    <row r="394" spans="1:84" s="220" customFormat="1" ht="15.75" hidden="1">
      <c r="A394" s="206"/>
      <c r="B394" s="214"/>
      <c r="C394" s="216"/>
      <c r="D394" s="216"/>
      <c r="E394" s="213"/>
      <c r="F394" s="213"/>
      <c r="G394" s="213"/>
      <c r="H394" s="213"/>
      <c r="I394" s="213"/>
      <c r="J394" s="213"/>
      <c r="K394" s="213"/>
      <c r="L394" s="213"/>
      <c r="M394" s="205">
        <v>33000</v>
      </c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</row>
    <row r="395" spans="1:84" s="220" customFormat="1" ht="15.75" hidden="1">
      <c r="A395" s="206"/>
      <c r="B395" s="214"/>
      <c r="C395" s="216"/>
      <c r="D395" s="216"/>
      <c r="E395" s="213"/>
      <c r="F395" s="213"/>
      <c r="G395" s="213"/>
      <c r="H395" s="213"/>
      <c r="I395" s="213"/>
      <c r="J395" s="213"/>
      <c r="K395" s="213"/>
      <c r="L395" s="213"/>
      <c r="M395" s="205">
        <v>33100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</row>
    <row r="396" spans="1:84" s="220" customFormat="1" ht="15.75" hidden="1">
      <c r="A396" s="206"/>
      <c r="B396" s="214"/>
      <c r="C396" s="216"/>
      <c r="D396" s="216"/>
      <c r="E396" s="213"/>
      <c r="F396" s="213"/>
      <c r="G396" s="213"/>
      <c r="H396" s="213"/>
      <c r="I396" s="213"/>
      <c r="J396" s="213"/>
      <c r="K396" s="213"/>
      <c r="L396" s="213"/>
      <c r="M396" s="205">
        <v>33200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</row>
    <row r="397" spans="1:84" s="220" customFormat="1" ht="15.75" hidden="1">
      <c r="A397" s="206"/>
      <c r="B397" s="214"/>
      <c r="C397" s="216"/>
      <c r="D397" s="216"/>
      <c r="E397" s="213"/>
      <c r="F397" s="213"/>
      <c r="G397" s="213"/>
      <c r="H397" s="213"/>
      <c r="I397" s="213"/>
      <c r="J397" s="213"/>
      <c r="K397" s="213"/>
      <c r="L397" s="213"/>
      <c r="M397" s="205">
        <v>33300</v>
      </c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</row>
    <row r="398" spans="1:84" s="220" customFormat="1" ht="15.75" hidden="1">
      <c r="A398" s="206"/>
      <c r="B398" s="214"/>
      <c r="C398" s="216"/>
      <c r="D398" s="216"/>
      <c r="E398" s="213"/>
      <c r="F398" s="213"/>
      <c r="G398" s="213"/>
      <c r="H398" s="213"/>
      <c r="I398" s="213"/>
      <c r="J398" s="213"/>
      <c r="K398" s="213"/>
      <c r="L398" s="213"/>
      <c r="M398" s="205">
        <v>33400</v>
      </c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</row>
    <row r="399" spans="1:84" s="220" customFormat="1" ht="15.75" hidden="1">
      <c r="A399" s="206"/>
      <c r="B399" s="214"/>
      <c r="C399" s="216"/>
      <c r="D399" s="216"/>
      <c r="E399" s="213"/>
      <c r="F399" s="213"/>
      <c r="G399" s="213"/>
      <c r="H399" s="213"/>
      <c r="I399" s="213"/>
      <c r="J399" s="213"/>
      <c r="K399" s="213"/>
      <c r="L399" s="213"/>
      <c r="M399" s="205">
        <v>33500</v>
      </c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</row>
    <row r="400" spans="1:84" s="220" customFormat="1" ht="15.75" hidden="1">
      <c r="A400" s="206"/>
      <c r="B400" s="214"/>
      <c r="C400" s="216"/>
      <c r="D400" s="216"/>
      <c r="E400" s="213"/>
      <c r="F400" s="213"/>
      <c r="G400" s="213"/>
      <c r="H400" s="213"/>
      <c r="I400" s="213"/>
      <c r="J400" s="213"/>
      <c r="K400" s="213"/>
      <c r="L400" s="213"/>
      <c r="M400" s="205">
        <v>33600</v>
      </c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</row>
    <row r="401" spans="1:84" s="220" customFormat="1" ht="15.75" hidden="1">
      <c r="A401" s="206"/>
      <c r="B401" s="214"/>
      <c r="C401" s="216"/>
      <c r="D401" s="216"/>
      <c r="E401" s="213"/>
      <c r="F401" s="213"/>
      <c r="G401" s="213"/>
      <c r="H401" s="213"/>
      <c r="I401" s="213"/>
      <c r="J401" s="213"/>
      <c r="K401" s="213"/>
      <c r="L401" s="213"/>
      <c r="M401" s="205">
        <v>33700</v>
      </c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</row>
    <row r="402" spans="1:84" s="220" customFormat="1" ht="15.75" hidden="1">
      <c r="A402" s="206"/>
      <c r="B402" s="214"/>
      <c r="C402" s="216"/>
      <c r="D402" s="216"/>
      <c r="E402" s="213"/>
      <c r="F402" s="213"/>
      <c r="G402" s="213"/>
      <c r="H402" s="213"/>
      <c r="I402" s="213"/>
      <c r="J402" s="213"/>
      <c r="K402" s="213"/>
      <c r="L402" s="213"/>
      <c r="M402" s="205">
        <v>33800</v>
      </c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</row>
    <row r="403" spans="1:84" s="220" customFormat="1" ht="15.75" hidden="1">
      <c r="A403" s="206"/>
      <c r="B403" s="214"/>
      <c r="C403" s="216"/>
      <c r="D403" s="216"/>
      <c r="E403" s="213"/>
      <c r="F403" s="213"/>
      <c r="G403" s="213"/>
      <c r="H403" s="213"/>
      <c r="I403" s="213"/>
      <c r="J403" s="213"/>
      <c r="K403" s="213"/>
      <c r="L403" s="213"/>
      <c r="M403" s="205">
        <v>33900</v>
      </c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</row>
    <row r="404" spans="1:84" s="220" customFormat="1" ht="15.75" hidden="1">
      <c r="A404" s="206"/>
      <c r="B404" s="214"/>
      <c r="C404" s="216"/>
      <c r="D404" s="216"/>
      <c r="E404" s="213"/>
      <c r="F404" s="213"/>
      <c r="G404" s="213"/>
      <c r="H404" s="213"/>
      <c r="I404" s="213"/>
      <c r="J404" s="213"/>
      <c r="K404" s="213"/>
      <c r="L404" s="213"/>
      <c r="M404" s="205">
        <v>34000</v>
      </c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</row>
    <row r="405" spans="1:84" s="220" customFormat="1" ht="15.75" hidden="1">
      <c r="A405" s="206"/>
      <c r="B405" s="214"/>
      <c r="C405" s="216"/>
      <c r="D405" s="216"/>
      <c r="E405" s="213"/>
      <c r="F405" s="213"/>
      <c r="G405" s="213"/>
      <c r="H405" s="213"/>
      <c r="I405" s="213"/>
      <c r="J405" s="213"/>
      <c r="K405" s="213"/>
      <c r="L405" s="213"/>
      <c r="M405" s="205">
        <v>34100</v>
      </c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</row>
    <row r="406" spans="1:84" s="220" customFormat="1" ht="15.75" hidden="1">
      <c r="A406" s="206"/>
      <c r="B406" s="214"/>
      <c r="C406" s="216"/>
      <c r="D406" s="216"/>
      <c r="E406" s="213"/>
      <c r="F406" s="213"/>
      <c r="G406" s="213"/>
      <c r="H406" s="213"/>
      <c r="I406" s="213"/>
      <c r="J406" s="213"/>
      <c r="K406" s="213"/>
      <c r="L406" s="213"/>
      <c r="M406" s="205">
        <v>34200</v>
      </c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</row>
    <row r="407" spans="1:84" s="220" customFormat="1" ht="15.75" hidden="1">
      <c r="A407" s="206"/>
      <c r="B407" s="214"/>
      <c r="C407" s="216"/>
      <c r="D407" s="216"/>
      <c r="E407" s="213"/>
      <c r="F407" s="213"/>
      <c r="G407" s="213"/>
      <c r="H407" s="213"/>
      <c r="I407" s="213"/>
      <c r="J407" s="213"/>
      <c r="K407" s="213"/>
      <c r="L407" s="213"/>
      <c r="M407" s="205">
        <v>34300</v>
      </c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</row>
    <row r="408" spans="1:84" s="220" customFormat="1" ht="15.75" hidden="1">
      <c r="A408" s="206"/>
      <c r="B408" s="214"/>
      <c r="C408" s="216"/>
      <c r="D408" s="216"/>
      <c r="E408" s="213"/>
      <c r="F408" s="213"/>
      <c r="G408" s="213"/>
      <c r="H408" s="213"/>
      <c r="I408" s="213"/>
      <c r="J408" s="213"/>
      <c r="K408" s="213"/>
      <c r="L408" s="213"/>
      <c r="M408" s="205">
        <v>34400</v>
      </c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</row>
    <row r="409" spans="1:84" s="220" customFormat="1" ht="15.75" hidden="1">
      <c r="A409" s="206"/>
      <c r="B409" s="214"/>
      <c r="C409" s="216"/>
      <c r="D409" s="216"/>
      <c r="E409" s="213"/>
      <c r="F409" s="213"/>
      <c r="G409" s="213"/>
      <c r="H409" s="213"/>
      <c r="I409" s="213"/>
      <c r="J409" s="213"/>
      <c r="K409" s="213"/>
      <c r="L409" s="213"/>
      <c r="M409" s="205">
        <v>34500</v>
      </c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</row>
    <row r="410" spans="1:84" s="220" customFormat="1" ht="15.75" hidden="1">
      <c r="A410" s="206"/>
      <c r="B410" s="214"/>
      <c r="C410" s="216"/>
      <c r="D410" s="216"/>
      <c r="E410" s="213"/>
      <c r="F410" s="213"/>
      <c r="G410" s="213"/>
      <c r="H410" s="213"/>
      <c r="I410" s="213"/>
      <c r="J410" s="213"/>
      <c r="K410" s="213"/>
      <c r="L410" s="213"/>
      <c r="M410" s="205">
        <v>34600</v>
      </c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</row>
    <row r="411" spans="1:84" s="220" customFormat="1" ht="15.75" hidden="1">
      <c r="A411" s="206"/>
      <c r="B411" s="214"/>
      <c r="C411" s="216"/>
      <c r="D411" s="216"/>
      <c r="E411" s="213"/>
      <c r="F411" s="213"/>
      <c r="G411" s="213"/>
      <c r="H411" s="213"/>
      <c r="I411" s="213"/>
      <c r="J411" s="213"/>
      <c r="K411" s="213"/>
      <c r="L411" s="213"/>
      <c r="M411" s="205">
        <v>34700</v>
      </c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</row>
    <row r="412" spans="1:84" s="220" customFormat="1" ht="15.75" hidden="1">
      <c r="A412" s="206"/>
      <c r="B412" s="214"/>
      <c r="C412" s="216"/>
      <c r="D412" s="216"/>
      <c r="E412" s="213"/>
      <c r="F412" s="213"/>
      <c r="G412" s="213"/>
      <c r="H412" s="213"/>
      <c r="I412" s="213"/>
      <c r="J412" s="213"/>
      <c r="K412" s="213"/>
      <c r="L412" s="213"/>
      <c r="M412" s="205">
        <v>34800</v>
      </c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</row>
    <row r="413" spans="1:84" s="220" customFormat="1" ht="15.75" hidden="1">
      <c r="A413" s="206"/>
      <c r="B413" s="214"/>
      <c r="C413" s="216"/>
      <c r="D413" s="216"/>
      <c r="E413" s="213"/>
      <c r="F413" s="213"/>
      <c r="G413" s="213"/>
      <c r="H413" s="213"/>
      <c r="I413" s="213"/>
      <c r="J413" s="213"/>
      <c r="K413" s="213"/>
      <c r="L413" s="213"/>
      <c r="M413" s="205">
        <v>34900</v>
      </c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</row>
    <row r="414" spans="1:84" s="220" customFormat="1" ht="15.75" hidden="1">
      <c r="A414" s="206"/>
      <c r="B414" s="214"/>
      <c r="C414" s="216"/>
      <c r="D414" s="216"/>
      <c r="E414" s="213"/>
      <c r="F414" s="213"/>
      <c r="G414" s="213"/>
      <c r="H414" s="213"/>
      <c r="I414" s="213"/>
      <c r="J414" s="213"/>
      <c r="K414" s="213"/>
      <c r="L414" s="213"/>
      <c r="M414" s="205">
        <v>35000</v>
      </c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</row>
    <row r="415" spans="1:84" s="220" customFormat="1" ht="15.75" hidden="1">
      <c r="A415" s="206"/>
      <c r="B415" s="214"/>
      <c r="C415" s="216"/>
      <c r="D415" s="216"/>
      <c r="E415" s="213"/>
      <c r="F415" s="213"/>
      <c r="G415" s="213"/>
      <c r="H415" s="213"/>
      <c r="I415" s="213"/>
      <c r="J415" s="213"/>
      <c r="K415" s="213"/>
      <c r="L415" s="213"/>
      <c r="M415" s="205">
        <v>35100</v>
      </c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</row>
    <row r="416" spans="1:84" s="220" customFormat="1" ht="15.75" hidden="1">
      <c r="A416" s="206"/>
      <c r="B416" s="214"/>
      <c r="C416" s="216"/>
      <c r="D416" s="216"/>
      <c r="E416" s="213"/>
      <c r="F416" s="213"/>
      <c r="G416" s="213"/>
      <c r="H416" s="213"/>
      <c r="I416" s="213"/>
      <c r="J416" s="213"/>
      <c r="K416" s="213"/>
      <c r="L416" s="213"/>
      <c r="M416" s="205">
        <v>35200</v>
      </c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</row>
    <row r="417" spans="1:84" s="220" customFormat="1" ht="15.75" hidden="1">
      <c r="A417" s="206"/>
      <c r="B417" s="214"/>
      <c r="C417" s="216"/>
      <c r="D417" s="216"/>
      <c r="E417" s="213"/>
      <c r="F417" s="213"/>
      <c r="G417" s="213"/>
      <c r="H417" s="213"/>
      <c r="I417" s="213"/>
      <c r="J417" s="213"/>
      <c r="K417" s="213"/>
      <c r="L417" s="213"/>
      <c r="M417" s="205">
        <v>35300</v>
      </c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</row>
    <row r="418" spans="1:84" s="220" customFormat="1" ht="15.75" hidden="1">
      <c r="A418" s="206"/>
      <c r="B418" s="214"/>
      <c r="C418" s="216"/>
      <c r="D418" s="216"/>
      <c r="E418" s="213"/>
      <c r="F418" s="213"/>
      <c r="G418" s="213"/>
      <c r="H418" s="213"/>
      <c r="I418" s="213"/>
      <c r="J418" s="213"/>
      <c r="K418" s="213"/>
      <c r="L418" s="213"/>
      <c r="M418" s="205">
        <v>35400</v>
      </c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</row>
    <row r="419" spans="1:84" s="220" customFormat="1" ht="15.75" hidden="1">
      <c r="A419" s="206"/>
      <c r="B419" s="214"/>
      <c r="C419" s="216"/>
      <c r="D419" s="216"/>
      <c r="E419" s="213"/>
      <c r="F419" s="213"/>
      <c r="G419" s="213"/>
      <c r="H419" s="213"/>
      <c r="I419" s="213"/>
      <c r="J419" s="213"/>
      <c r="K419" s="213"/>
      <c r="L419" s="213"/>
      <c r="M419" s="205">
        <v>35500</v>
      </c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</row>
    <row r="420" spans="1:84" s="220" customFormat="1" ht="15.75" hidden="1">
      <c r="A420" s="206"/>
      <c r="B420" s="214"/>
      <c r="C420" s="216"/>
      <c r="D420" s="216"/>
      <c r="E420" s="213"/>
      <c r="F420" s="213"/>
      <c r="G420" s="213"/>
      <c r="H420" s="213"/>
      <c r="I420" s="213"/>
      <c r="J420" s="213"/>
      <c r="K420" s="213"/>
      <c r="L420" s="213"/>
      <c r="M420" s="205">
        <v>35600</v>
      </c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</row>
    <row r="421" spans="1:84" s="220" customFormat="1" ht="15.75" hidden="1">
      <c r="A421" s="206"/>
      <c r="B421" s="214"/>
      <c r="C421" s="216"/>
      <c r="D421" s="216"/>
      <c r="E421" s="213"/>
      <c r="F421" s="213"/>
      <c r="G421" s="213"/>
      <c r="H421" s="213"/>
      <c r="I421" s="213"/>
      <c r="J421" s="213"/>
      <c r="K421" s="213"/>
      <c r="L421" s="213"/>
      <c r="M421" s="205">
        <v>35700</v>
      </c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</row>
    <row r="422" spans="1:84" s="220" customFormat="1" ht="15.75" hidden="1">
      <c r="A422" s="206"/>
      <c r="B422" s="214"/>
      <c r="C422" s="216"/>
      <c r="D422" s="216"/>
      <c r="E422" s="213"/>
      <c r="F422" s="213"/>
      <c r="G422" s="213"/>
      <c r="H422" s="213"/>
      <c r="I422" s="213"/>
      <c r="J422" s="213"/>
      <c r="K422" s="213"/>
      <c r="L422" s="213"/>
      <c r="M422" s="205">
        <v>35800</v>
      </c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</row>
    <row r="423" spans="1:84" s="220" customFormat="1" ht="15.75" hidden="1">
      <c r="A423" s="206"/>
      <c r="B423" s="214"/>
      <c r="C423" s="216"/>
      <c r="D423" s="216"/>
      <c r="E423" s="213"/>
      <c r="F423" s="213"/>
      <c r="G423" s="213"/>
      <c r="H423" s="213"/>
      <c r="I423" s="213"/>
      <c r="J423" s="213"/>
      <c r="K423" s="213"/>
      <c r="L423" s="213"/>
      <c r="M423" s="205">
        <v>35900</v>
      </c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</row>
    <row r="424" spans="1:84" s="220" customFormat="1" ht="15.75" hidden="1">
      <c r="A424" s="206"/>
      <c r="B424" s="214"/>
      <c r="C424" s="216"/>
      <c r="D424" s="216"/>
      <c r="E424" s="213"/>
      <c r="F424" s="213"/>
      <c r="G424" s="213"/>
      <c r="H424" s="213"/>
      <c r="I424" s="213"/>
      <c r="J424" s="213"/>
      <c r="K424" s="213"/>
      <c r="L424" s="213"/>
      <c r="M424" s="205">
        <v>36000</v>
      </c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</row>
    <row r="425" spans="1:84" s="220" customFormat="1" ht="15.75" hidden="1">
      <c r="A425" s="206"/>
      <c r="B425" s="214"/>
      <c r="C425" s="216"/>
      <c r="D425" s="216"/>
      <c r="E425" s="213"/>
      <c r="F425" s="213"/>
      <c r="G425" s="213"/>
      <c r="H425" s="213"/>
      <c r="I425" s="213"/>
      <c r="J425" s="213"/>
      <c r="K425" s="213"/>
      <c r="L425" s="213"/>
      <c r="M425" s="205">
        <v>36100</v>
      </c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</row>
    <row r="426" spans="1:84" s="220" customFormat="1" ht="15.75" hidden="1">
      <c r="A426" s="206"/>
      <c r="B426" s="214"/>
      <c r="C426" s="216"/>
      <c r="D426" s="216"/>
      <c r="E426" s="213"/>
      <c r="F426" s="213"/>
      <c r="G426" s="213"/>
      <c r="H426" s="213"/>
      <c r="I426" s="213"/>
      <c r="J426" s="213"/>
      <c r="K426" s="213"/>
      <c r="L426" s="213"/>
      <c r="M426" s="205">
        <v>36200</v>
      </c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</row>
    <row r="427" spans="1:84" s="220" customFormat="1" ht="15.75" hidden="1">
      <c r="A427" s="206"/>
      <c r="B427" s="214"/>
      <c r="C427" s="216"/>
      <c r="D427" s="216"/>
      <c r="E427" s="213"/>
      <c r="F427" s="213"/>
      <c r="G427" s="213"/>
      <c r="H427" s="213"/>
      <c r="I427" s="213"/>
      <c r="J427" s="213"/>
      <c r="K427" s="213"/>
      <c r="L427" s="213"/>
      <c r="M427" s="205">
        <v>36300</v>
      </c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</row>
    <row r="428" spans="1:84" s="220" customFormat="1" ht="15.75" hidden="1">
      <c r="A428" s="206"/>
      <c r="B428" s="214"/>
      <c r="C428" s="216"/>
      <c r="D428" s="216"/>
      <c r="E428" s="213"/>
      <c r="F428" s="213"/>
      <c r="G428" s="213"/>
      <c r="H428" s="213"/>
      <c r="I428" s="213"/>
      <c r="J428" s="213"/>
      <c r="K428" s="213"/>
      <c r="L428" s="213"/>
      <c r="M428" s="205">
        <v>36400</v>
      </c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</row>
    <row r="429" spans="1:84" s="220" customFormat="1" ht="15.75" hidden="1">
      <c r="A429" s="206"/>
      <c r="B429" s="214"/>
      <c r="C429" s="216"/>
      <c r="D429" s="216"/>
      <c r="E429" s="213"/>
      <c r="F429" s="213"/>
      <c r="G429" s="213"/>
      <c r="H429" s="213"/>
      <c r="I429" s="213"/>
      <c r="J429" s="213"/>
      <c r="K429" s="213"/>
      <c r="L429" s="213"/>
      <c r="M429" s="205">
        <v>36500</v>
      </c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</row>
    <row r="430" spans="1:84" s="220" customFormat="1" ht="15.75" hidden="1">
      <c r="A430" s="206"/>
      <c r="B430" s="214"/>
      <c r="C430" s="216"/>
      <c r="D430" s="216"/>
      <c r="E430" s="213"/>
      <c r="F430" s="213"/>
      <c r="G430" s="213"/>
      <c r="H430" s="213"/>
      <c r="I430" s="213"/>
      <c r="J430" s="213"/>
      <c r="K430" s="213"/>
      <c r="L430" s="213"/>
      <c r="M430" s="205">
        <v>36600</v>
      </c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</row>
    <row r="431" spans="1:84" s="220" customFormat="1" ht="15.75" hidden="1">
      <c r="A431" s="206"/>
      <c r="B431" s="214"/>
      <c r="C431" s="216"/>
      <c r="D431" s="216"/>
      <c r="E431" s="213"/>
      <c r="F431" s="213"/>
      <c r="G431" s="213"/>
      <c r="H431" s="213"/>
      <c r="I431" s="213"/>
      <c r="J431" s="213"/>
      <c r="K431" s="213"/>
      <c r="L431" s="213"/>
      <c r="M431" s="205">
        <v>36700</v>
      </c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</row>
    <row r="432" spans="1:84" s="220" customFormat="1" ht="15.75" hidden="1">
      <c r="A432" s="206"/>
      <c r="B432" s="214"/>
      <c r="C432" s="216"/>
      <c r="D432" s="216"/>
      <c r="E432" s="213"/>
      <c r="F432" s="213"/>
      <c r="G432" s="213"/>
      <c r="H432" s="213"/>
      <c r="I432" s="213"/>
      <c r="J432" s="213"/>
      <c r="K432" s="213"/>
      <c r="L432" s="213"/>
      <c r="M432" s="205">
        <v>36800</v>
      </c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</row>
    <row r="433" spans="1:84" s="220" customFormat="1" ht="15.75" hidden="1">
      <c r="A433" s="206"/>
      <c r="B433" s="214"/>
      <c r="C433" s="216"/>
      <c r="D433" s="216"/>
      <c r="E433" s="213"/>
      <c r="F433" s="213"/>
      <c r="G433" s="213"/>
      <c r="H433" s="213"/>
      <c r="I433" s="213"/>
      <c r="J433" s="213"/>
      <c r="K433" s="213"/>
      <c r="L433" s="213"/>
      <c r="M433" s="205">
        <v>36900</v>
      </c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</row>
    <row r="434" spans="1:84" s="220" customFormat="1" ht="15.75" hidden="1">
      <c r="A434" s="206"/>
      <c r="B434" s="214"/>
      <c r="C434" s="216"/>
      <c r="D434" s="216"/>
      <c r="E434" s="213"/>
      <c r="F434" s="213"/>
      <c r="G434" s="213"/>
      <c r="H434" s="213"/>
      <c r="I434" s="213"/>
      <c r="J434" s="213"/>
      <c r="K434" s="213"/>
      <c r="L434" s="213"/>
      <c r="M434" s="205">
        <v>37000</v>
      </c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</row>
    <row r="435" spans="1:84" s="220" customFormat="1" ht="15.75" hidden="1">
      <c r="A435" s="206"/>
      <c r="B435" s="214"/>
      <c r="C435" s="216"/>
      <c r="D435" s="216"/>
      <c r="E435" s="213"/>
      <c r="F435" s="213"/>
      <c r="G435" s="213"/>
      <c r="H435" s="213"/>
      <c r="I435" s="213"/>
      <c r="J435" s="213"/>
      <c r="K435" s="213"/>
      <c r="L435" s="213"/>
      <c r="M435" s="205">
        <v>37100</v>
      </c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</row>
    <row r="436" spans="1:84" s="220" customFormat="1" ht="15.75" hidden="1">
      <c r="A436" s="206"/>
      <c r="B436" s="214"/>
      <c r="C436" s="216"/>
      <c r="D436" s="216"/>
      <c r="E436" s="213"/>
      <c r="F436" s="213"/>
      <c r="G436" s="213"/>
      <c r="H436" s="213"/>
      <c r="I436" s="213"/>
      <c r="J436" s="213"/>
      <c r="K436" s="213"/>
      <c r="L436" s="213"/>
      <c r="M436" s="205">
        <v>37200</v>
      </c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</row>
    <row r="437" spans="1:84" s="220" customFormat="1" ht="15.75" hidden="1">
      <c r="A437" s="206"/>
      <c r="B437" s="214"/>
      <c r="C437" s="216"/>
      <c r="D437" s="216"/>
      <c r="E437" s="213"/>
      <c r="F437" s="213"/>
      <c r="G437" s="213"/>
      <c r="H437" s="213"/>
      <c r="I437" s="213"/>
      <c r="J437" s="213"/>
      <c r="K437" s="213"/>
      <c r="L437" s="213"/>
      <c r="M437" s="205">
        <v>37300</v>
      </c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</row>
    <row r="438" spans="1:84" s="220" customFormat="1" ht="15.75" hidden="1">
      <c r="A438" s="206"/>
      <c r="B438" s="214"/>
      <c r="C438" s="216"/>
      <c r="D438" s="216"/>
      <c r="E438" s="213"/>
      <c r="F438" s="213"/>
      <c r="G438" s="213"/>
      <c r="H438" s="213"/>
      <c r="I438" s="213"/>
      <c r="J438" s="213"/>
      <c r="K438" s="213"/>
      <c r="L438" s="213"/>
      <c r="M438" s="205">
        <v>37400</v>
      </c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</row>
    <row r="439" spans="1:84" s="220" customFormat="1" ht="15.75" hidden="1">
      <c r="A439" s="206"/>
      <c r="B439" s="214"/>
      <c r="C439" s="216"/>
      <c r="D439" s="216"/>
      <c r="E439" s="213"/>
      <c r="F439" s="213"/>
      <c r="G439" s="213"/>
      <c r="H439" s="213"/>
      <c r="I439" s="213"/>
      <c r="J439" s="213"/>
      <c r="K439" s="213"/>
      <c r="L439" s="213"/>
      <c r="M439" s="205">
        <v>37500</v>
      </c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</row>
    <row r="440" spans="1:84" s="220" customFormat="1" ht="15.75" hidden="1">
      <c r="A440" s="206"/>
      <c r="B440" s="214"/>
      <c r="C440" s="216"/>
      <c r="D440" s="216"/>
      <c r="E440" s="213"/>
      <c r="F440" s="213"/>
      <c r="G440" s="213"/>
      <c r="H440" s="213"/>
      <c r="I440" s="213"/>
      <c r="J440" s="213"/>
      <c r="K440" s="213"/>
      <c r="L440" s="213"/>
      <c r="M440" s="205">
        <v>37600</v>
      </c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</row>
    <row r="441" spans="1:65" s="220" customFormat="1" ht="12.75" hidden="1">
      <c r="A441" s="206"/>
      <c r="B441" s="214"/>
      <c r="C441" s="216"/>
      <c r="D441" s="216"/>
      <c r="E441" s="213"/>
      <c r="F441" s="213"/>
      <c r="G441" s="213"/>
      <c r="H441" s="213"/>
      <c r="I441" s="213"/>
      <c r="J441" s="213"/>
      <c r="K441" s="213"/>
      <c r="L441" s="213"/>
      <c r="M441" s="205">
        <v>37700</v>
      </c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</row>
    <row r="442" spans="1:65" s="220" customFormat="1" ht="12.75" hidden="1">
      <c r="A442" s="206"/>
      <c r="B442" s="214"/>
      <c r="C442" s="216"/>
      <c r="D442" s="216"/>
      <c r="E442" s="213"/>
      <c r="F442" s="213"/>
      <c r="G442" s="213"/>
      <c r="H442" s="213"/>
      <c r="I442" s="213"/>
      <c r="J442" s="213"/>
      <c r="K442" s="213"/>
      <c r="L442" s="213"/>
      <c r="M442" s="205">
        <v>37800</v>
      </c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</row>
    <row r="443" spans="1:65" s="220" customFormat="1" ht="12.75" hidden="1">
      <c r="A443" s="206"/>
      <c r="B443" s="214"/>
      <c r="C443" s="216"/>
      <c r="D443" s="216"/>
      <c r="E443" s="213"/>
      <c r="F443" s="213"/>
      <c r="G443" s="213"/>
      <c r="H443" s="213"/>
      <c r="I443" s="213"/>
      <c r="J443" s="213"/>
      <c r="K443" s="213"/>
      <c r="L443" s="213"/>
      <c r="M443" s="205">
        <v>37900</v>
      </c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</row>
    <row r="444" spans="1:65" s="220" customFormat="1" ht="12.75" hidden="1">
      <c r="A444" s="206"/>
      <c r="B444" s="214"/>
      <c r="C444" s="216"/>
      <c r="D444" s="216"/>
      <c r="E444" s="213"/>
      <c r="F444" s="213"/>
      <c r="G444" s="213"/>
      <c r="H444" s="213"/>
      <c r="I444" s="213"/>
      <c r="J444" s="213"/>
      <c r="K444" s="213"/>
      <c r="L444" s="213"/>
      <c r="M444" s="205">
        <v>38000</v>
      </c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</row>
    <row r="445" spans="1:65" s="220" customFormat="1" ht="12.75" hidden="1">
      <c r="A445" s="206"/>
      <c r="B445" s="214"/>
      <c r="C445" s="216"/>
      <c r="D445" s="216"/>
      <c r="E445" s="213"/>
      <c r="F445" s="213"/>
      <c r="G445" s="213"/>
      <c r="H445" s="213"/>
      <c r="I445" s="213"/>
      <c r="J445" s="213"/>
      <c r="K445" s="213"/>
      <c r="L445" s="213"/>
      <c r="M445" s="205">
        <v>38100</v>
      </c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</row>
    <row r="446" spans="1:65" s="220" customFormat="1" ht="12.75" hidden="1">
      <c r="A446" s="206"/>
      <c r="B446" s="214"/>
      <c r="C446" s="216"/>
      <c r="D446" s="216"/>
      <c r="E446" s="213"/>
      <c r="F446" s="213"/>
      <c r="G446" s="213"/>
      <c r="H446" s="213"/>
      <c r="I446" s="213"/>
      <c r="J446" s="213"/>
      <c r="K446" s="213"/>
      <c r="L446" s="213"/>
      <c r="M446" s="205">
        <v>38200</v>
      </c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</row>
    <row r="447" spans="1:65" s="220" customFormat="1" ht="12.75" hidden="1">
      <c r="A447" s="206"/>
      <c r="B447" s="206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05">
        <v>38300</v>
      </c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</row>
    <row r="448" spans="1:65" s="220" customFormat="1" ht="12.75" hidden="1">
      <c r="A448" s="206"/>
      <c r="B448" s="206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05">
        <v>38400</v>
      </c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</row>
    <row r="449" spans="1:65" s="220" customFormat="1" ht="12.75" hidden="1">
      <c r="A449" s="206"/>
      <c r="B449" s="206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05">
        <v>38500</v>
      </c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</row>
    <row r="450" spans="1:65" s="220" customFormat="1" ht="12.75" hidden="1">
      <c r="A450" s="206"/>
      <c r="B450" s="206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05">
        <v>38600</v>
      </c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</row>
    <row r="451" spans="1:65" s="220" customFormat="1" ht="12.75" hidden="1">
      <c r="A451" s="206"/>
      <c r="B451" s="206"/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05">
        <v>38700</v>
      </c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</row>
    <row r="452" spans="1:65" s="220" customFormat="1" ht="12.75" hidden="1">
      <c r="A452" s="206"/>
      <c r="B452" s="206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05">
        <v>38800</v>
      </c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</row>
    <row r="453" spans="1:65" s="220" customFormat="1" ht="12.75" hidden="1">
      <c r="A453" s="206"/>
      <c r="B453" s="206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05">
        <v>38900</v>
      </c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</row>
    <row r="454" spans="1:65" s="220" customFormat="1" ht="12.75" hidden="1">
      <c r="A454" s="206"/>
      <c r="B454" s="206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05">
        <v>39000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</row>
    <row r="455" spans="1:65" s="220" customFormat="1" ht="12.75" hidden="1">
      <c r="A455" s="206"/>
      <c r="B455" s="206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05">
        <v>39100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</row>
    <row r="456" spans="1:65" s="220" customFormat="1" ht="12.75" hidden="1">
      <c r="A456" s="206"/>
      <c r="B456" s="206"/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05">
        <v>39200</v>
      </c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</row>
    <row r="457" spans="1:65" s="220" customFormat="1" ht="12.75" hidden="1">
      <c r="A457" s="206"/>
      <c r="B457" s="206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05">
        <v>39300</v>
      </c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</row>
    <row r="458" spans="1:65" s="220" customFormat="1" ht="12.75" hidden="1">
      <c r="A458" s="206"/>
      <c r="B458" s="206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05">
        <v>39400</v>
      </c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</row>
    <row r="459" spans="1:65" s="220" customFormat="1" ht="12.75" hidden="1">
      <c r="A459" s="206"/>
      <c r="B459" s="206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05">
        <v>39500</v>
      </c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</row>
    <row r="460" spans="1:65" s="220" customFormat="1" ht="12.75" hidden="1">
      <c r="A460" s="206"/>
      <c r="B460" s="206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05">
        <v>39600</v>
      </c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</row>
    <row r="461" spans="1:65" s="220" customFormat="1" ht="12.75" hidden="1">
      <c r="A461" s="206"/>
      <c r="B461" s="206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05">
        <v>39700</v>
      </c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</row>
    <row r="462" spans="1:65" s="220" customFormat="1" ht="12.75" hidden="1">
      <c r="A462" s="206"/>
      <c r="B462" s="206"/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05">
        <v>39800</v>
      </c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</row>
    <row r="463" spans="1:65" s="220" customFormat="1" ht="12.75" hidden="1">
      <c r="A463" s="206"/>
      <c r="B463" s="206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05">
        <v>39900</v>
      </c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</row>
    <row r="464" spans="1:65" s="220" customFormat="1" ht="12.75" hidden="1">
      <c r="A464" s="206"/>
      <c r="B464" s="206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05">
        <v>40000</v>
      </c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</row>
    <row r="465" spans="1:65" s="220" customFormat="1" ht="12.75" hidden="1">
      <c r="A465" s="206"/>
      <c r="B465" s="206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</row>
    <row r="466" spans="1:65" s="220" customFormat="1" ht="12.75" hidden="1">
      <c r="A466" s="206"/>
      <c r="B466" s="206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</row>
    <row r="467" spans="1:65" s="220" customFormat="1" ht="12.75" hidden="1">
      <c r="A467" s="206"/>
      <c r="B467" s="206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</row>
    <row r="468" spans="1:65" s="220" customFormat="1" ht="12.75" hidden="1">
      <c r="A468" s="206"/>
      <c r="B468" s="206"/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</row>
    <row r="469" spans="1:65" s="220" customFormat="1" ht="12.75" hidden="1">
      <c r="A469" s="206"/>
      <c r="B469" s="206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</row>
    <row r="470" spans="1:65" s="220" customFormat="1" ht="12.75" hidden="1">
      <c r="A470" s="206"/>
      <c r="B470" s="206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</row>
    <row r="471" spans="1:65" s="220" customFormat="1" ht="12.75" hidden="1">
      <c r="A471" s="206"/>
      <c r="B471" s="206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</row>
    <row r="472" spans="1:65" s="220" customFormat="1" ht="12.75" hidden="1">
      <c r="A472" s="206"/>
      <c r="B472" s="206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</row>
    <row r="473" spans="1:65" s="220" customFormat="1" ht="12.75" hidden="1">
      <c r="A473" s="206"/>
      <c r="B473" s="206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</row>
    <row r="474" spans="1:65" s="220" customFormat="1" ht="12.75" hidden="1">
      <c r="A474" s="206"/>
      <c r="B474" s="206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</row>
    <row r="475" spans="1:65" s="220" customFormat="1" ht="12.75" hidden="1">
      <c r="A475" s="206"/>
      <c r="B475" s="206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</row>
    <row r="476" spans="1:65" s="220" customFormat="1" ht="12.75" hidden="1">
      <c r="A476" s="206"/>
      <c r="B476" s="206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</row>
    <row r="477" spans="1:65" s="220" customFormat="1" ht="12.75" hidden="1">
      <c r="A477" s="206"/>
      <c r="B477" s="206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</row>
    <row r="478" spans="1:65" s="220" customFormat="1" ht="12.75" hidden="1">
      <c r="A478" s="206"/>
      <c r="B478" s="206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</row>
    <row r="479" spans="1:65" s="220" customFormat="1" ht="12.75" hidden="1">
      <c r="A479" s="206"/>
      <c r="B479" s="206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</row>
    <row r="480" spans="1:65" s="220" customFormat="1" ht="12.75" hidden="1">
      <c r="A480" s="206"/>
      <c r="B480" s="206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</row>
    <row r="481" spans="1:65" s="220" customFormat="1" ht="12.75" hidden="1">
      <c r="A481" s="206"/>
      <c r="B481" s="206"/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</row>
    <row r="482" spans="1:65" s="220" customFormat="1" ht="12.75" hidden="1">
      <c r="A482" s="206"/>
      <c r="B482" s="206"/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</row>
    <row r="483" spans="1:65" s="220" customFormat="1" ht="12.75" hidden="1">
      <c r="A483" s="206"/>
      <c r="B483" s="206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</row>
    <row r="484" spans="1:65" s="220" customFormat="1" ht="12.75" hidden="1">
      <c r="A484" s="206"/>
      <c r="B484" s="206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</row>
    <row r="485" spans="1:65" s="220" customFormat="1" ht="12.75" hidden="1">
      <c r="A485" s="206"/>
      <c r="B485" s="206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</row>
    <row r="486" spans="1:65" s="220" customFormat="1" ht="12.75" hidden="1">
      <c r="A486" s="206"/>
      <c r="B486" s="206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</row>
    <row r="487" spans="1:65" s="220" customFormat="1" ht="12.75" hidden="1">
      <c r="A487" s="206"/>
      <c r="B487" s="206"/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</row>
    <row r="488" spans="1:65" s="220" customFormat="1" ht="12.75" hidden="1">
      <c r="A488" s="206"/>
      <c r="B488" s="206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</row>
    <row r="489" spans="1:65" s="220" customFormat="1" ht="12.75" hidden="1">
      <c r="A489" s="206"/>
      <c r="B489" s="206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</row>
    <row r="490" spans="1:65" s="220" customFormat="1" ht="12.75" hidden="1">
      <c r="A490" s="206"/>
      <c r="B490" s="206"/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</row>
    <row r="491" spans="1:65" s="220" customFormat="1" ht="12.75" hidden="1">
      <c r="A491" s="206"/>
      <c r="B491" s="206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</row>
    <row r="492" spans="1:65" s="220" customFormat="1" ht="12.75" hidden="1">
      <c r="A492" s="206"/>
      <c r="B492" s="206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</row>
    <row r="493" spans="1:65" s="220" customFormat="1" ht="12.75" hidden="1">
      <c r="A493" s="206"/>
      <c r="B493" s="206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</row>
    <row r="494" spans="1:65" s="220" customFormat="1" ht="12.75" hidden="1">
      <c r="A494" s="206"/>
      <c r="B494" s="206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</row>
    <row r="495" spans="1:65" s="220" customFormat="1" ht="12.75" hidden="1">
      <c r="A495" s="206"/>
      <c r="B495" s="206"/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</row>
    <row r="496" spans="1:65" s="220" customFormat="1" ht="12.75" hidden="1">
      <c r="A496" s="206"/>
      <c r="B496" s="206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</row>
    <row r="497" spans="1:65" s="220" customFormat="1" ht="12.75" hidden="1">
      <c r="A497" s="206"/>
      <c r="B497" s="206"/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</row>
    <row r="498" spans="1:65" s="220" customFormat="1" ht="12.75" hidden="1">
      <c r="A498" s="206"/>
      <c r="B498" s="206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</row>
    <row r="499" spans="1:65" s="220" customFormat="1" ht="12.75" hidden="1">
      <c r="A499" s="206"/>
      <c r="B499" s="206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</row>
    <row r="500" spans="1:65" s="220" customFormat="1" ht="12.75" hidden="1">
      <c r="A500" s="206"/>
      <c r="B500" s="206"/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</row>
    <row r="501" spans="1:65" s="220" customFormat="1" ht="12.75" hidden="1">
      <c r="A501" s="206"/>
      <c r="B501" s="206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</row>
    <row r="502" spans="1:65" s="220" customFormat="1" ht="12.75" hidden="1">
      <c r="A502" s="206"/>
      <c r="B502" s="206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</row>
    <row r="503" spans="1:65" s="220" customFormat="1" ht="12.75" hidden="1">
      <c r="A503" s="206"/>
      <c r="B503" s="206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</row>
    <row r="504" spans="1:65" s="220" customFormat="1" ht="12.75" hidden="1">
      <c r="A504" s="206"/>
      <c r="B504" s="206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</row>
    <row r="505" spans="1:65" s="220" customFormat="1" ht="12.75" hidden="1">
      <c r="A505" s="206"/>
      <c r="B505" s="206"/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</row>
    <row r="506" spans="1:65" s="220" customFormat="1" ht="12.75" hidden="1">
      <c r="A506" s="206"/>
      <c r="B506" s="206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</row>
    <row r="507" spans="1:65" s="220" customFormat="1" ht="12.75" hidden="1">
      <c r="A507" s="206"/>
      <c r="B507" s="206"/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</row>
    <row r="508" spans="1:65" s="220" customFormat="1" ht="12.75" hidden="1">
      <c r="A508" s="206"/>
      <c r="B508" s="206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</row>
    <row r="509" spans="1:65" s="220" customFormat="1" ht="12.75" hidden="1">
      <c r="A509" s="206"/>
      <c r="B509" s="206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</row>
    <row r="510" spans="1:65" s="220" customFormat="1" ht="12.75" hidden="1">
      <c r="A510" s="206"/>
      <c r="B510" s="206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</row>
    <row r="511" spans="1:65" s="220" customFormat="1" ht="12.75" hidden="1">
      <c r="A511" s="206"/>
      <c r="B511" s="206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</row>
    <row r="512" spans="1:65" s="220" customFormat="1" ht="12.75" hidden="1">
      <c r="A512" s="206"/>
      <c r="B512" s="206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</row>
    <row r="513" spans="1:65" s="220" customFormat="1" ht="12.75" hidden="1">
      <c r="A513" s="206"/>
      <c r="B513" s="206"/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</row>
    <row r="514" spans="1:65" s="220" customFormat="1" ht="12.75" hidden="1">
      <c r="A514" s="206"/>
      <c r="B514" s="206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</row>
    <row r="515" spans="1:65" s="220" customFormat="1" ht="12.75" hidden="1">
      <c r="A515" s="206"/>
      <c r="B515" s="206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</row>
    <row r="516" spans="1:65" s="220" customFormat="1" ht="12.75" hidden="1">
      <c r="A516" s="206"/>
      <c r="B516" s="206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</row>
    <row r="517" spans="1:65" s="220" customFormat="1" ht="12.75" hidden="1">
      <c r="A517" s="206"/>
      <c r="B517" s="206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</row>
    <row r="518" spans="1:65" s="220" customFormat="1" ht="12.75" hidden="1">
      <c r="A518" s="206"/>
      <c r="B518" s="206"/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</row>
    <row r="519" spans="1:65" s="220" customFormat="1" ht="12.75" hidden="1">
      <c r="A519" s="206"/>
      <c r="B519" s="206"/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</row>
    <row r="520" spans="1:65" s="220" customFormat="1" ht="12.75" hidden="1">
      <c r="A520" s="206"/>
      <c r="B520" s="206"/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</row>
    <row r="521" spans="1:65" s="220" customFormat="1" ht="12.75" hidden="1">
      <c r="A521" s="206"/>
      <c r="B521" s="206"/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</row>
    <row r="522" spans="1:65" s="220" customFormat="1" ht="12.75" hidden="1">
      <c r="A522" s="206"/>
      <c r="B522" s="206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</row>
    <row r="523" spans="1:65" s="220" customFormat="1" ht="12.75" hidden="1">
      <c r="A523" s="206"/>
      <c r="B523" s="206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</row>
    <row r="524" spans="1:65" s="220" customFormat="1" ht="12.75" hidden="1">
      <c r="A524" s="206"/>
      <c r="B524" s="206"/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</row>
    <row r="525" spans="1:65" s="220" customFormat="1" ht="12.75" hidden="1">
      <c r="A525" s="206"/>
      <c r="B525" s="206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</row>
    <row r="526" spans="1:65" s="220" customFormat="1" ht="12.75" hidden="1">
      <c r="A526" s="206"/>
      <c r="B526" s="206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</row>
    <row r="527" spans="1:65" s="220" customFormat="1" ht="12.75" hidden="1">
      <c r="A527" s="206"/>
      <c r="B527" s="206"/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</row>
    <row r="528" spans="1:65" s="220" customFormat="1" ht="12.75" hidden="1">
      <c r="A528" s="206"/>
      <c r="B528" s="206"/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</row>
    <row r="529" spans="1:65" s="220" customFormat="1" ht="12.75" hidden="1">
      <c r="A529" s="206"/>
      <c r="B529" s="206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</row>
    <row r="530" spans="1:65" s="220" customFormat="1" ht="12.75" hidden="1">
      <c r="A530" s="206"/>
      <c r="B530" s="206"/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</row>
    <row r="531" spans="1:65" s="220" customFormat="1" ht="12.75" hidden="1">
      <c r="A531" s="206"/>
      <c r="B531" s="206"/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</row>
    <row r="532" spans="1:65" s="220" customFormat="1" ht="12.75" hidden="1">
      <c r="A532" s="206"/>
      <c r="B532" s="206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</row>
    <row r="533" spans="1:65" s="220" customFormat="1" ht="12.75" hidden="1">
      <c r="A533" s="206"/>
      <c r="B533" s="206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</row>
    <row r="534" spans="1:65" s="220" customFormat="1" ht="12.75" hidden="1">
      <c r="A534" s="206"/>
      <c r="B534" s="206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</row>
    <row r="535" spans="1:65" s="220" customFormat="1" ht="12.75" hidden="1">
      <c r="A535" s="206"/>
      <c r="B535" s="206"/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</row>
    <row r="536" spans="1:65" s="220" customFormat="1" ht="12.75" hidden="1">
      <c r="A536" s="206"/>
      <c r="B536" s="206"/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</row>
    <row r="537" spans="1:65" s="220" customFormat="1" ht="12.75" hidden="1">
      <c r="A537" s="206"/>
      <c r="B537" s="206"/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</row>
    <row r="538" spans="1:65" s="220" customFormat="1" ht="12.75" hidden="1">
      <c r="A538" s="206"/>
      <c r="B538" s="206"/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</row>
    <row r="539" spans="1:65" s="220" customFormat="1" ht="12.75" hidden="1">
      <c r="A539" s="206"/>
      <c r="B539" s="206"/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</row>
    <row r="540" spans="1:65" s="220" customFormat="1" ht="12.75" hidden="1">
      <c r="A540" s="206"/>
      <c r="B540" s="206"/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</row>
    <row r="541" spans="1:65" s="220" customFormat="1" ht="12.75" hidden="1">
      <c r="A541" s="206"/>
      <c r="B541" s="206"/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</row>
    <row r="542" spans="1:65" s="220" customFormat="1" ht="12.75" hidden="1">
      <c r="A542" s="206"/>
      <c r="B542" s="206"/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</row>
    <row r="543" spans="1:65" s="220" customFormat="1" ht="12.75" hidden="1">
      <c r="A543" s="206"/>
      <c r="B543" s="206"/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</row>
    <row r="544" spans="1:65" s="220" customFormat="1" ht="12.75" hidden="1">
      <c r="A544" s="206"/>
      <c r="B544" s="206"/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</row>
    <row r="545" spans="1:65" s="220" customFormat="1" ht="12.75" hidden="1">
      <c r="A545" s="206"/>
      <c r="B545" s="206"/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</row>
    <row r="546" spans="1:65" s="220" customFormat="1" ht="12.75" hidden="1">
      <c r="A546" s="206"/>
      <c r="B546" s="206"/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</row>
    <row r="547" spans="1:65" s="220" customFormat="1" ht="12.75" hidden="1">
      <c r="A547" s="206"/>
      <c r="B547" s="206"/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</row>
    <row r="548" spans="1:65" s="220" customFormat="1" ht="12.75" hidden="1">
      <c r="A548" s="206"/>
      <c r="B548" s="206"/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</row>
    <row r="549" spans="1:65" s="220" customFormat="1" ht="12.75" hidden="1">
      <c r="A549" s="206"/>
      <c r="B549" s="206"/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</row>
    <row r="550" spans="1:65" s="220" customFormat="1" ht="12.75" hidden="1">
      <c r="A550" s="206"/>
      <c r="B550" s="206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</row>
    <row r="551" spans="1:65" s="220" customFormat="1" ht="12.75" hidden="1">
      <c r="A551" s="206"/>
      <c r="B551" s="206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</row>
    <row r="552" spans="1:65" s="220" customFormat="1" ht="12.75" hidden="1">
      <c r="A552" s="206"/>
      <c r="B552" s="206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</row>
    <row r="553" spans="1:65" s="220" customFormat="1" ht="12.75" hidden="1">
      <c r="A553" s="206"/>
      <c r="B553" s="206"/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</row>
    <row r="554" spans="1:65" s="220" customFormat="1" ht="12.75" hidden="1">
      <c r="A554" s="206"/>
      <c r="B554" s="206"/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</row>
    <row r="555" spans="1:65" s="220" customFormat="1" ht="12.75" hidden="1">
      <c r="A555" s="206"/>
      <c r="B555" s="206"/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</row>
    <row r="556" spans="1:65" s="220" customFormat="1" ht="12.75" hidden="1">
      <c r="A556" s="206"/>
      <c r="B556" s="206"/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</row>
    <row r="557" spans="1:65" s="220" customFormat="1" ht="12.75" hidden="1">
      <c r="A557" s="206"/>
      <c r="B557" s="206"/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</row>
    <row r="558" spans="1:65" s="220" customFormat="1" ht="12.75" hidden="1">
      <c r="A558" s="206"/>
      <c r="B558" s="206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</row>
    <row r="559" spans="1:65" s="220" customFormat="1" ht="12.75" hidden="1">
      <c r="A559" s="206"/>
      <c r="B559" s="206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</row>
    <row r="560" spans="1:65" s="220" customFormat="1" ht="12.75" hidden="1">
      <c r="A560" s="206"/>
      <c r="B560" s="206"/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</row>
    <row r="561" spans="1:65" s="220" customFormat="1" ht="12.75" hidden="1">
      <c r="A561" s="206"/>
      <c r="B561" s="206"/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</row>
    <row r="562" spans="1:65" s="220" customFormat="1" ht="12.75" hidden="1">
      <c r="A562" s="206"/>
      <c r="B562" s="206"/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</row>
    <row r="563" spans="1:65" s="220" customFormat="1" ht="12.75" hidden="1">
      <c r="A563" s="206"/>
      <c r="B563" s="206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</row>
    <row r="564" spans="1:65" s="220" customFormat="1" ht="12.75" hidden="1">
      <c r="A564" s="206"/>
      <c r="B564" s="206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</row>
    <row r="565" spans="1:65" s="220" customFormat="1" ht="12.75" hidden="1">
      <c r="A565" s="206"/>
      <c r="B565" s="206"/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</row>
    <row r="566" spans="1:65" s="220" customFormat="1" ht="12.75" hidden="1">
      <c r="A566" s="206"/>
      <c r="B566" s="206"/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</row>
    <row r="567" spans="1:65" s="220" customFormat="1" ht="12.75" hidden="1">
      <c r="A567" s="206"/>
      <c r="B567" s="206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</row>
    <row r="568" spans="1:65" s="220" customFormat="1" ht="12.75" hidden="1">
      <c r="A568" s="206"/>
      <c r="B568" s="206"/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</row>
    <row r="569" spans="1:65" s="220" customFormat="1" ht="12.75" hidden="1">
      <c r="A569" s="206"/>
      <c r="B569" s="206"/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</row>
    <row r="570" spans="1:65" s="220" customFormat="1" ht="12.75" hidden="1">
      <c r="A570" s="206"/>
      <c r="B570" s="206"/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</row>
    <row r="571" spans="1:65" s="220" customFormat="1" ht="12.75" hidden="1">
      <c r="A571" s="206"/>
      <c r="B571" s="206"/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</row>
    <row r="572" spans="1:65" s="220" customFormat="1" ht="12.75" hidden="1">
      <c r="A572" s="206"/>
      <c r="B572" s="206"/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</row>
    <row r="573" spans="1:65" s="220" customFormat="1" ht="12.75" hidden="1">
      <c r="A573" s="206"/>
      <c r="B573" s="206"/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</row>
    <row r="574" spans="1:65" s="220" customFormat="1" ht="12.75" hidden="1">
      <c r="A574" s="206"/>
      <c r="B574" s="206"/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</row>
    <row r="575" spans="1:65" s="220" customFormat="1" ht="12.75" hidden="1">
      <c r="A575" s="206"/>
      <c r="B575" s="206"/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</row>
    <row r="576" spans="1:65" s="220" customFormat="1" ht="12.75" hidden="1">
      <c r="A576" s="206"/>
      <c r="B576" s="206"/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</row>
    <row r="577" spans="1:65" s="220" customFormat="1" ht="12.75" hidden="1">
      <c r="A577" s="206"/>
      <c r="B577" s="206"/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</row>
    <row r="578" spans="1:65" s="220" customFormat="1" ht="12.75" hidden="1">
      <c r="A578" s="206"/>
      <c r="B578" s="206"/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</row>
    <row r="579" spans="1:65" s="220" customFormat="1" ht="12.75" hidden="1">
      <c r="A579" s="206"/>
      <c r="B579" s="206"/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</row>
    <row r="580" spans="1:65" s="220" customFormat="1" ht="12.75" hidden="1">
      <c r="A580" s="206"/>
      <c r="B580" s="206"/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</row>
    <row r="581" spans="1:65" s="220" customFormat="1" ht="12.75" hidden="1">
      <c r="A581" s="206"/>
      <c r="B581" s="206"/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</row>
    <row r="582" spans="1:65" s="220" customFormat="1" ht="12.75" hidden="1">
      <c r="A582" s="206"/>
      <c r="B582" s="206"/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</row>
    <row r="583" spans="1:65" s="220" customFormat="1" ht="12.75" hidden="1">
      <c r="A583" s="206"/>
      <c r="B583" s="206"/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</row>
    <row r="584" spans="1:65" s="220" customFormat="1" ht="12.75" hidden="1">
      <c r="A584" s="206"/>
      <c r="B584" s="206"/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</row>
    <row r="585" spans="1:65" s="220" customFormat="1" ht="12.75" hidden="1">
      <c r="A585" s="206"/>
      <c r="B585" s="206"/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</row>
    <row r="586" spans="1:65" s="220" customFormat="1" ht="12.75" hidden="1">
      <c r="A586" s="206"/>
      <c r="B586" s="206"/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</row>
    <row r="587" spans="1:65" s="220" customFormat="1" ht="12.75" hidden="1">
      <c r="A587" s="206"/>
      <c r="B587" s="206"/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</row>
    <row r="588" spans="1:65" s="220" customFormat="1" ht="12.75" hidden="1">
      <c r="A588" s="206"/>
      <c r="B588" s="206"/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</row>
    <row r="589" spans="1:65" s="220" customFormat="1" ht="12.75" hidden="1">
      <c r="A589" s="206"/>
      <c r="B589" s="206"/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</row>
    <row r="590" spans="1:65" s="220" customFormat="1" ht="12.75" hidden="1">
      <c r="A590" s="206"/>
      <c r="B590" s="206"/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</row>
    <row r="591" spans="1:65" s="220" customFormat="1" ht="12.75" hidden="1">
      <c r="A591" s="206"/>
      <c r="B591" s="206"/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</row>
    <row r="592" spans="1:65" s="220" customFormat="1" ht="12.75" hidden="1">
      <c r="A592" s="206"/>
      <c r="B592" s="206"/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</row>
    <row r="593" spans="1:65" s="220" customFormat="1" ht="12.75" hidden="1">
      <c r="A593" s="206"/>
      <c r="B593" s="206"/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</row>
    <row r="594" spans="1:65" s="220" customFormat="1" ht="12.75" hidden="1">
      <c r="A594" s="206"/>
      <c r="B594" s="206"/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</row>
    <row r="595" spans="1:65" s="220" customFormat="1" ht="12.75" hidden="1">
      <c r="A595" s="206"/>
      <c r="B595" s="206"/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</row>
    <row r="596" spans="1:65" s="220" customFormat="1" ht="12.75" hidden="1">
      <c r="A596" s="206"/>
      <c r="B596" s="206"/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</row>
    <row r="597" spans="1:65" s="220" customFormat="1" ht="12.75" hidden="1">
      <c r="A597" s="206"/>
      <c r="B597" s="206"/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</row>
    <row r="598" spans="1:65" s="220" customFormat="1" ht="12.75" hidden="1">
      <c r="A598" s="206"/>
      <c r="B598" s="206"/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</row>
    <row r="599" spans="1:65" s="220" customFormat="1" ht="12.75" hidden="1">
      <c r="A599" s="206"/>
      <c r="B599" s="206"/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</row>
    <row r="600" spans="1:65" s="220" customFormat="1" ht="12.75" hidden="1">
      <c r="A600" s="206"/>
      <c r="B600" s="206"/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</row>
    <row r="601" spans="1:65" s="220" customFormat="1" ht="12.75" hidden="1">
      <c r="A601" s="206"/>
      <c r="B601" s="206"/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</row>
    <row r="602" spans="1:65" s="220" customFormat="1" ht="12.75" hidden="1">
      <c r="A602" s="206"/>
      <c r="B602" s="206"/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</row>
    <row r="603" spans="1:65" s="220" customFormat="1" ht="12.75" hidden="1">
      <c r="A603" s="206"/>
      <c r="B603" s="206"/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</row>
    <row r="604" spans="1:65" s="220" customFormat="1" ht="12.75" hidden="1">
      <c r="A604" s="206"/>
      <c r="B604" s="206"/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</row>
    <row r="605" spans="1:65" s="220" customFormat="1" ht="12.75" hidden="1">
      <c r="A605" s="206"/>
      <c r="B605" s="206"/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</row>
    <row r="606" spans="1:65" s="220" customFormat="1" ht="12.75" hidden="1">
      <c r="A606" s="206"/>
      <c r="B606" s="206"/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</row>
    <row r="607" spans="1:65" s="220" customFormat="1" ht="12.75" hidden="1">
      <c r="A607" s="206"/>
      <c r="B607" s="206"/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</row>
    <row r="608" spans="1:65" s="220" customFormat="1" ht="12.75" hidden="1">
      <c r="A608" s="206"/>
      <c r="B608" s="206"/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</row>
    <row r="609" spans="1:65" s="220" customFormat="1" ht="12.75" hidden="1">
      <c r="A609" s="206"/>
      <c r="B609" s="206"/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</row>
    <row r="610" spans="1:65" s="220" customFormat="1" ht="12.75" hidden="1">
      <c r="A610" s="206"/>
      <c r="B610" s="206"/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</row>
    <row r="611" spans="1:65" s="220" customFormat="1" ht="12.75" hidden="1">
      <c r="A611" s="206"/>
      <c r="B611" s="206"/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</row>
    <row r="612" spans="1:65" s="220" customFormat="1" ht="12.75" hidden="1">
      <c r="A612" s="206"/>
      <c r="B612" s="206"/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</row>
    <row r="613" spans="1:65" s="220" customFormat="1" ht="12.75" hidden="1">
      <c r="A613" s="206"/>
      <c r="B613" s="206"/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</row>
    <row r="614" spans="1:65" s="220" customFormat="1" ht="12.75" hidden="1">
      <c r="A614" s="206"/>
      <c r="B614" s="206"/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</row>
    <row r="615" spans="1:65" s="220" customFormat="1" ht="12.75" hidden="1">
      <c r="A615" s="206"/>
      <c r="B615" s="206"/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</row>
    <row r="616" spans="1:65" s="220" customFormat="1" ht="12.75" hidden="1">
      <c r="A616" s="206"/>
      <c r="B616" s="206"/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</row>
    <row r="617" spans="1:12" s="220" customFormat="1" ht="12.75" hidden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</row>
    <row r="618" spans="1:12" s="220" customFormat="1" ht="12.75" hidden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</row>
    <row r="619" spans="1:12" s="220" customFormat="1" ht="12.75" hidden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</row>
    <row r="620" spans="1:12" s="220" customFormat="1" ht="12.75" hidden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</row>
    <row r="621" spans="1:12" s="220" customFormat="1" ht="12.75" hidden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</row>
    <row r="622" spans="1:12" s="220" customFormat="1" ht="12.75" hidden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</row>
    <row r="623" spans="1:12" s="220" customFormat="1" ht="12.75" hidden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</row>
    <row r="624" spans="1:12" s="220" customFormat="1" ht="12.75" hidden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</row>
    <row r="625" spans="1:12" s="220" customFormat="1" ht="12.75" hidden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</row>
    <row r="626" spans="1:12" s="220" customFormat="1" ht="12.75" hidden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</row>
    <row r="627" spans="1:12" s="220" customFormat="1" ht="12.75" hidden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</row>
    <row r="628" spans="1:12" s="220" customFormat="1" ht="12.75" hidden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</row>
    <row r="629" spans="1:12" s="220" customFormat="1" ht="12.75" hidden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</row>
    <row r="630" spans="1:12" s="220" customFormat="1" ht="12.75" hidden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</row>
    <row r="631" spans="1:12" s="220" customFormat="1" ht="12.75" hidden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</row>
    <row r="632" spans="1:12" s="220" customFormat="1" ht="12.75" hidden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</row>
    <row r="633" spans="1:12" s="220" customFormat="1" ht="12.75" hidden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</row>
    <row r="634" spans="1:12" s="220" customFormat="1" ht="12.75" hidden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</row>
    <row r="635" spans="1:12" s="220" customFormat="1" ht="12.75" hidden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</row>
    <row r="636" spans="1:12" s="220" customFormat="1" ht="12.75" hidden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</row>
    <row r="637" spans="1:12" s="220" customFormat="1" ht="12.75" hidden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</row>
    <row r="638" spans="1:12" s="220" customFormat="1" ht="12.75" hidden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</row>
    <row r="639" spans="1:12" s="220" customFormat="1" ht="12.75" hidden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</row>
    <row r="640" spans="1:12" s="220" customFormat="1" ht="12.75" hidden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</row>
    <row r="641" spans="1:12" s="220" customFormat="1" ht="12.75" hidden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</row>
    <row r="642" spans="1:12" s="220" customFormat="1" ht="12.75" hidden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</row>
    <row r="643" spans="1:12" s="220" customFormat="1" ht="12.75" hidden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</row>
    <row r="644" spans="1:12" s="220" customFormat="1" ht="12.75" hidden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</row>
    <row r="645" spans="1:12" s="220" customFormat="1" ht="12.75" hidden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</row>
    <row r="646" spans="1:12" s="220" customFormat="1" ht="12.75" hidden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</row>
    <row r="647" spans="1:12" s="220" customFormat="1" ht="12.75" hidden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</row>
    <row r="648" spans="1:12" s="220" customFormat="1" ht="12.75" hidden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</row>
    <row r="649" spans="1:12" s="220" customFormat="1" ht="12.75" hidden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</row>
    <row r="650" spans="1:12" s="220" customFormat="1" ht="12.75" hidden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</row>
    <row r="651" spans="1:12" s="220" customFormat="1" ht="12.75" hidden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</row>
    <row r="652" spans="1:12" s="220" customFormat="1" ht="12.75" hidden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</row>
    <row r="653" spans="1:12" s="220" customFormat="1" ht="12.75" hidden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</row>
    <row r="654" spans="1:12" s="220" customFormat="1" ht="12.75" hidden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</row>
    <row r="655" spans="1:12" s="220" customFormat="1" ht="12.75" hidden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</row>
    <row r="656" spans="1:12" s="220" customFormat="1" ht="12.75" hidden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</row>
    <row r="657" spans="1:12" s="220" customFormat="1" ht="12.75" hidden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</row>
    <row r="658" spans="1:12" s="220" customFormat="1" ht="12.75" hidden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</row>
    <row r="659" spans="1:12" s="220" customFormat="1" ht="12.75" hidden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</row>
    <row r="660" spans="1:12" s="220" customFormat="1" ht="12.75" hidden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</row>
    <row r="661" spans="1:12" s="220" customFormat="1" ht="12.75" hidden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</row>
    <row r="662" spans="1:12" s="220" customFormat="1" ht="12.75" hidden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</row>
    <row r="663" spans="1:12" s="220" customFormat="1" ht="12.75" hidden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</row>
    <row r="664" spans="1:12" s="220" customFormat="1" ht="12.75" hidden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</row>
    <row r="665" spans="1:12" s="220" customFormat="1" ht="12.75" hidden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</row>
    <row r="666" spans="1:12" s="220" customFormat="1" ht="12.75" hidden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</row>
    <row r="667" spans="1:12" s="220" customFormat="1" ht="12.75" hidden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</row>
    <row r="668" spans="1:12" s="220" customFormat="1" ht="12.75" hidden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</row>
    <row r="669" spans="1:12" s="220" customFormat="1" ht="12.75" hidden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</row>
    <row r="670" spans="1:12" s="220" customFormat="1" ht="12.75" hidden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</row>
    <row r="671" spans="1:12" s="220" customFormat="1" ht="12.75" hidden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</row>
    <row r="672" spans="1:12" s="220" customFormat="1" ht="12.75" hidden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</row>
    <row r="673" spans="1:12" s="220" customFormat="1" ht="12.75" hidden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</row>
    <row r="674" spans="1:12" s="220" customFormat="1" ht="12.75" hidden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</row>
    <row r="675" spans="1:12" s="220" customFormat="1" ht="12.75" hidden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</row>
    <row r="676" spans="1:12" s="220" customFormat="1" ht="12.75" hidden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</row>
    <row r="677" spans="1:12" s="220" customFormat="1" ht="12.75" hidden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</row>
    <row r="678" spans="1:12" s="220" customFormat="1" ht="12.75" hidden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</row>
    <row r="679" spans="1:12" s="220" customFormat="1" ht="12.75" hidden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</row>
    <row r="680" spans="1:12" s="220" customFormat="1" ht="12.75" hidden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</row>
    <row r="681" spans="1:12" s="220" customFormat="1" ht="12.75" hidden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</row>
    <row r="682" spans="1:12" s="220" customFormat="1" ht="12.75" hidden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</row>
    <row r="683" spans="1:12" s="220" customFormat="1" ht="12.75" hidden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</row>
    <row r="684" spans="1:12" s="220" customFormat="1" ht="12.75" hidden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</row>
    <row r="685" spans="1:12" s="220" customFormat="1" ht="12.75" hidden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</row>
    <row r="686" spans="1:12" s="220" customFormat="1" ht="12.75" hidden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</row>
    <row r="687" spans="1:12" s="220" customFormat="1" ht="12.75" hidden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</row>
    <row r="688" spans="1:12" s="220" customFormat="1" ht="12.75" hidden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</row>
    <row r="689" spans="1:12" s="220" customFormat="1" ht="12.75" hidden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</row>
    <row r="690" spans="1:12" s="220" customFormat="1" ht="12.75" hidden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</row>
    <row r="691" spans="1:12" s="220" customFormat="1" ht="12.75" hidden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</row>
    <row r="692" spans="1:12" s="220" customFormat="1" ht="12.75" hidden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</row>
    <row r="693" spans="1:12" s="220" customFormat="1" ht="12.75" hidden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</row>
    <row r="694" spans="1:12" s="220" customFormat="1" ht="12.75" hidden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</row>
    <row r="695" spans="1:12" s="220" customFormat="1" ht="12.75" hidden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</row>
    <row r="696" spans="1:12" s="220" customFormat="1" ht="12.75" hidden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</row>
    <row r="697" spans="1:12" s="220" customFormat="1" ht="12.75" hidden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</row>
    <row r="698" spans="1:12" s="220" customFormat="1" ht="12.75" hidden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</row>
    <row r="699" spans="1:12" s="220" customFormat="1" ht="12.75" hidden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</row>
    <row r="700" spans="1:12" s="220" customFormat="1" ht="12.75" hidden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</row>
    <row r="701" spans="1:12" s="220" customFormat="1" ht="12.75" hidden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</row>
    <row r="702" spans="1:12" s="220" customFormat="1" ht="12.75" hidden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</row>
    <row r="703" spans="1:12" s="220" customFormat="1" ht="12.75" hidden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</row>
    <row r="704" spans="1:12" s="220" customFormat="1" ht="12.75" hidden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</row>
    <row r="705" spans="1:12" s="220" customFormat="1" ht="12.75" hidden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</row>
    <row r="706" spans="1:12" s="220" customFormat="1" ht="12.75" hidden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</row>
    <row r="707" spans="1:12" s="220" customFormat="1" ht="12.75" hidden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</row>
    <row r="708" spans="1:12" s="220" customFormat="1" ht="12.75" hidden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</row>
    <row r="709" spans="1:12" s="220" customFormat="1" ht="12.75" hidden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</row>
    <row r="710" spans="1:12" s="220" customFormat="1" ht="12.75" hidden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</row>
    <row r="711" spans="1:12" s="220" customFormat="1" ht="12.75" hidden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</row>
    <row r="712" spans="1:12" s="220" customFormat="1" ht="12.75" hidden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</row>
    <row r="713" spans="1:12" s="220" customFormat="1" ht="12.75" hidden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</row>
    <row r="714" spans="1:12" s="220" customFormat="1" ht="12.75" hidden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</row>
    <row r="715" spans="1:12" s="220" customFormat="1" ht="12.75" hidden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</row>
    <row r="716" spans="1:12" s="220" customFormat="1" ht="12.75" hidden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</row>
    <row r="717" spans="1:12" s="220" customFormat="1" ht="12.75" hidden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</row>
    <row r="718" spans="1:12" s="220" customFormat="1" ht="12.75" hidden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</row>
    <row r="719" spans="1:12" s="220" customFormat="1" ht="12.75" hidden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</row>
    <row r="720" spans="1:12" s="220" customFormat="1" ht="12.75" hidden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</row>
    <row r="721" spans="1:12" s="220" customFormat="1" ht="12.75" hidden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</row>
    <row r="722" spans="1:12" s="220" customFormat="1" ht="12.75" hidden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</row>
    <row r="723" spans="1:12" s="220" customFormat="1" ht="12.75" hidden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</row>
    <row r="724" spans="1:12" s="220" customFormat="1" ht="12.75" hidden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</row>
    <row r="725" spans="1:12" s="220" customFormat="1" ht="12.75" hidden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</row>
    <row r="726" spans="1:12" s="220" customFormat="1" ht="12.75" hidden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</row>
    <row r="727" spans="1:12" s="220" customFormat="1" ht="12.75" hidden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</row>
    <row r="728" spans="1:12" s="220" customFormat="1" ht="12.75" hidden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</row>
    <row r="729" spans="1:12" s="220" customFormat="1" ht="12.75" hidden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</row>
    <row r="730" spans="1:12" s="220" customFormat="1" ht="12.75" hidden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</row>
    <row r="731" spans="1:12" s="220" customFormat="1" ht="12.75" hidden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</row>
    <row r="732" spans="1:12" s="220" customFormat="1" ht="12.75" hidden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</row>
    <row r="733" spans="1:12" s="220" customFormat="1" ht="12.75" hidden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</row>
    <row r="734" spans="1:12" s="220" customFormat="1" ht="12.75" hidden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</row>
    <row r="735" spans="1:12" s="220" customFormat="1" ht="12.75" hidden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</row>
    <row r="736" spans="1:12" s="220" customFormat="1" ht="12.75" hidden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</row>
    <row r="737" spans="1:12" s="220" customFormat="1" ht="12.75" hidden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</row>
    <row r="738" spans="1:12" s="220" customFormat="1" ht="12.75" hidden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</row>
    <row r="739" spans="1:12" s="220" customFormat="1" ht="12.75" hidden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</row>
    <row r="740" spans="1:12" s="220" customFormat="1" ht="12.75" hidden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</row>
    <row r="741" spans="1:12" s="220" customFormat="1" ht="12.75" hidden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</row>
    <row r="742" spans="1:12" s="220" customFormat="1" ht="12.75" hidden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</row>
    <row r="743" spans="1:12" s="220" customFormat="1" ht="12.75" hidden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</row>
    <row r="744" spans="1:12" s="220" customFormat="1" ht="12.75" hidden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</row>
    <row r="745" spans="1:12" s="220" customFormat="1" ht="12.75" hidden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</row>
    <row r="746" spans="1:12" s="220" customFormat="1" ht="12.75" hidden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</row>
    <row r="747" spans="1:12" s="220" customFormat="1" ht="12.75" hidden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</row>
    <row r="748" spans="1:12" s="220" customFormat="1" ht="12.75" hidden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</row>
    <row r="749" spans="1:12" s="220" customFormat="1" ht="12.75" hidden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</row>
    <row r="750" spans="1:12" s="220" customFormat="1" ht="12.75" hidden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</row>
    <row r="751" spans="1:12" s="220" customFormat="1" ht="12.75" hidden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</row>
    <row r="752" spans="1:12" s="220" customFormat="1" ht="12.75" hidden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</row>
    <row r="753" spans="1:12" s="220" customFormat="1" ht="12.75" hidden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</row>
    <row r="754" spans="1:12" s="220" customFormat="1" ht="12.75" hidden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</row>
    <row r="755" spans="1:12" s="220" customFormat="1" ht="12.75" hidden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</row>
    <row r="756" spans="1:12" s="220" customFormat="1" ht="12.75" hidden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</row>
    <row r="757" spans="1:12" s="220" customFormat="1" ht="12.75" hidden="1">
      <c r="A757" s="22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</row>
    <row r="758" spans="1:12" s="220" customFormat="1" ht="12.75" hidden="1">
      <c r="A758" s="22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</row>
    <row r="759" spans="1:12" s="220" customFormat="1" ht="12.75" hidden="1">
      <c r="A759" s="22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</row>
    <row r="760" spans="1:12" s="220" customFormat="1" ht="12.75" hidden="1">
      <c r="A760" s="22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</row>
    <row r="761" spans="1:12" s="220" customFormat="1" ht="12.75" hidden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</row>
    <row r="762" spans="1:12" s="220" customFormat="1" ht="12.75" hidden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</row>
    <row r="763" spans="1:12" s="220" customFormat="1" ht="1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</row>
    <row r="764" spans="1:12" s="220" customFormat="1" ht="12.7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</row>
    <row r="765" spans="1:12" s="220" customFormat="1" ht="12.7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</row>
    <row r="766" spans="1:12" s="220" customFormat="1" ht="12.7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</row>
    <row r="767" spans="1:12" s="220" customFormat="1" ht="12.7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</row>
    <row r="768" spans="1:12" s="220" customFormat="1" ht="12.7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</row>
    <row r="769" spans="1:12" s="220" customFormat="1" ht="12.7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</row>
    <row r="770" spans="1:12" s="220" customFormat="1" ht="12.7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</row>
    <row r="771" spans="1:12" s="220" customFormat="1" ht="12.7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</row>
    <row r="772" spans="1:12" s="220" customFormat="1" ht="12.7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</row>
    <row r="773" spans="1:12" s="220" customFormat="1" ht="12.7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</row>
    <row r="774" spans="1:12" s="220" customFormat="1" ht="12.7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</row>
    <row r="775" spans="1:12" s="220" customFormat="1" ht="12.7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</row>
    <row r="776" spans="1:12" s="220" customFormat="1" ht="12.7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</row>
    <row r="777" spans="1:12" s="220" customFormat="1" ht="12.7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</row>
    <row r="778" spans="1:12" s="220" customFormat="1" ht="12.7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</row>
    <row r="779" spans="1:12" s="220" customFormat="1" ht="12.7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</row>
    <row r="780" spans="1:12" s="220" customFormat="1" ht="12.7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</row>
    <row r="781" spans="1:12" s="220" customFormat="1" ht="12.7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</row>
    <row r="782" spans="1:12" s="220" customFormat="1" ht="12.7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220" customFormat="1" ht="12.7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</row>
    <row r="784" spans="1:12" s="220" customFormat="1" ht="12.7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</row>
    <row r="785" spans="1:12" s="220" customFormat="1" ht="12.7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</row>
    <row r="786" spans="1:12" s="220" customFormat="1" ht="12.7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</row>
    <row r="787" spans="1:12" s="220" customFormat="1" ht="12.7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</row>
    <row r="788" spans="1:12" s="220" customFormat="1" ht="12.7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</row>
    <row r="789" spans="1:12" s="220" customFormat="1" ht="12.7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</row>
    <row r="790" spans="1:12" s="220" customFormat="1" ht="12.7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</row>
    <row r="791" spans="1:12" s="220" customFormat="1" ht="12.7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</row>
    <row r="792" spans="1:12" s="220" customFormat="1" ht="12.7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</row>
    <row r="793" spans="1:12" s="220" customFormat="1" ht="12.7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</row>
    <row r="794" spans="1:12" s="220" customFormat="1" ht="12.7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</row>
    <row r="795" spans="1:12" s="220" customFormat="1" ht="12.7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</row>
    <row r="796" spans="1:12" s="220" customFormat="1" ht="12.7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</row>
    <row r="797" spans="1:12" s="220" customFormat="1" ht="12.7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</row>
    <row r="798" spans="1:12" s="220" customFormat="1" ht="12.7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</row>
    <row r="799" spans="1:12" s="220" customFormat="1" ht="12.7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</row>
    <row r="800" spans="1:12" s="220" customFormat="1" ht="12.7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</row>
    <row r="801" spans="1:12" s="220" customFormat="1" ht="12.7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</row>
    <row r="802" spans="1:12" s="220" customFormat="1" ht="12.7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</row>
    <row r="803" spans="1:12" s="220" customFormat="1" ht="12.7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</row>
    <row r="804" spans="1:12" s="220" customFormat="1" ht="12.7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</row>
    <row r="805" spans="1:12" s="220" customFormat="1" ht="12.7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</row>
    <row r="806" spans="1:12" s="220" customFormat="1" ht="12.7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</row>
    <row r="807" spans="1:12" s="220" customFormat="1" ht="12.7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</row>
    <row r="808" spans="1:12" s="220" customFormat="1" ht="12.7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</row>
    <row r="809" spans="1:12" s="220" customFormat="1" ht="12.7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</row>
    <row r="810" spans="1:12" s="220" customFormat="1" ht="12.7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</row>
    <row r="811" spans="1:12" s="220" customFormat="1" ht="12.7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</row>
    <row r="812" spans="1:12" s="220" customFormat="1" ht="12.7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</row>
    <row r="813" spans="1:32" s="220" customFormat="1" ht="12.7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AE813" s="335">
        <f>F66</f>
        <v>10.1208893</v>
      </c>
      <c r="AF813" s="336" t="s">
        <v>454</v>
      </c>
    </row>
    <row r="814" spans="1:32" s="220" customFormat="1" ht="12.7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AE814" s="335">
        <f>I66</f>
        <v>9.142376779999998</v>
      </c>
      <c r="AF814" s="336" t="s">
        <v>455</v>
      </c>
    </row>
    <row r="815" spans="1:32" s="220" customFormat="1" ht="12.7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AE815" s="335">
        <f>L66</f>
        <v>9.142376779999998</v>
      </c>
      <c r="AF815" s="336" t="s">
        <v>456</v>
      </c>
    </row>
    <row r="816" spans="1:32" s="220" customFormat="1" ht="12.7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AE816" s="335">
        <f>F67</f>
        <v>1.08403838</v>
      </c>
      <c r="AF816" s="336" t="s">
        <v>108</v>
      </c>
    </row>
    <row r="817" spans="1:32" s="220" customFormat="1" ht="12.7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AE817" s="335">
        <f>I67</f>
        <v>1.4917519300000002</v>
      </c>
      <c r="AF817" s="336" t="s">
        <v>108</v>
      </c>
    </row>
    <row r="818" spans="1:32" s="220" customFormat="1" ht="12.7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AE818" s="335">
        <f>L67</f>
        <v>1.2375305399999998</v>
      </c>
      <c r="AF818" s="336" t="s">
        <v>108</v>
      </c>
    </row>
    <row r="819" spans="1:32" s="220" customFormat="1" ht="12.7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AE819" s="335">
        <f>F68</f>
        <v>0</v>
      </c>
      <c r="AF819" s="336" t="s">
        <v>315</v>
      </c>
    </row>
    <row r="820" spans="1:32" s="220" customFormat="1" ht="12.7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AE820" s="335">
        <f>I68</f>
        <v>3.0958154852574418</v>
      </c>
      <c r="AF820" s="336" t="s">
        <v>315</v>
      </c>
    </row>
    <row r="821" spans="1:32" s="220" customFormat="1" ht="12.7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AE821" s="335">
        <f>L68</f>
        <v>6.097818380052536</v>
      </c>
      <c r="AF821" s="336" t="s">
        <v>315</v>
      </c>
    </row>
    <row r="822" spans="1:32" s="220" customFormat="1" ht="12.7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AE822" s="335">
        <f>F69</f>
        <v>0</v>
      </c>
      <c r="AF822" s="336" t="s">
        <v>220</v>
      </c>
    </row>
    <row r="823" spans="1:32" s="220" customFormat="1" ht="12.7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AE823" s="335">
        <f>I69</f>
        <v>-3.403496782799999</v>
      </c>
      <c r="AF823" s="336" t="s">
        <v>220</v>
      </c>
    </row>
    <row r="824" spans="1:32" s="220" customFormat="1" ht="12.7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AE824" s="335">
        <f>L69</f>
        <v>-3.403496782799999</v>
      </c>
      <c r="AF824" s="336" t="s">
        <v>220</v>
      </c>
    </row>
    <row r="825" spans="1:32" s="220" customFormat="1" ht="12.7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AE825" s="335">
        <f>F70</f>
        <v>0</v>
      </c>
      <c r="AF825" s="336" t="s">
        <v>316</v>
      </c>
    </row>
    <row r="826" spans="1:151" ht="12.75">
      <c r="A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335">
        <f>I70</f>
        <v>-5.2424658</v>
      </c>
      <c r="AF826" s="336" t="s">
        <v>316</v>
      </c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  <c r="EJ826" s="206"/>
      <c r="EK826" s="206"/>
      <c r="EL826" s="206"/>
      <c r="EM826" s="206"/>
      <c r="EN826" s="206"/>
      <c r="EO826" s="206"/>
      <c r="EP826" s="206"/>
      <c r="EQ826" s="206"/>
      <c r="ER826" s="206"/>
      <c r="ES826" s="206"/>
      <c r="ET826" s="206"/>
      <c r="EU826" s="206"/>
    </row>
    <row r="827" spans="1:151" ht="12.75">
      <c r="A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335">
        <f>L70</f>
        <v>-5.2424658</v>
      </c>
      <c r="AF827" s="336" t="s">
        <v>316</v>
      </c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  <c r="EJ827" s="206"/>
      <c r="EK827" s="206"/>
      <c r="EL827" s="206"/>
      <c r="EM827" s="206"/>
      <c r="EN827" s="206"/>
      <c r="EO827" s="206"/>
      <c r="EP827" s="206"/>
      <c r="EQ827" s="206"/>
      <c r="ER827" s="206"/>
      <c r="ES827" s="206"/>
      <c r="ET827" s="206"/>
      <c r="EU827" s="206"/>
    </row>
    <row r="828" spans="31:32" ht="15.75">
      <c r="AE828" s="335">
        <f>F71</f>
        <v>11.20492768</v>
      </c>
      <c r="AF828" s="336" t="s">
        <v>318</v>
      </c>
    </row>
    <row r="829" spans="31:32" ht="15.75">
      <c r="AE829" s="335">
        <f>I71</f>
        <v>5.083981612457439</v>
      </c>
      <c r="AF829" s="336" t="s">
        <v>318</v>
      </c>
    </row>
    <row r="830" spans="31:32" ht="15.75">
      <c r="AE830" s="335">
        <f>L71</f>
        <v>7.831763117252535</v>
      </c>
      <c r="AF830" s="336" t="s">
        <v>318</v>
      </c>
    </row>
  </sheetData>
  <sheetProtection password="CA63" sheet="1" selectLockedCells="1"/>
  <mergeCells count="24">
    <mergeCell ref="A72:L73"/>
    <mergeCell ref="J1:L1"/>
    <mergeCell ref="J2:L2"/>
    <mergeCell ref="D1:F1"/>
    <mergeCell ref="A16:A17"/>
    <mergeCell ref="G1:I1"/>
    <mergeCell ref="A66:A70"/>
    <mergeCell ref="A57:A59"/>
    <mergeCell ref="A44:A53"/>
    <mergeCell ref="A64:L65"/>
    <mergeCell ref="A35:A41"/>
    <mergeCell ref="A55:L56"/>
    <mergeCell ref="A43:L43"/>
    <mergeCell ref="A60:A61"/>
    <mergeCell ref="A18:A24"/>
    <mergeCell ref="A28:A34"/>
    <mergeCell ref="G2:I2"/>
    <mergeCell ref="A14:L15"/>
    <mergeCell ref="A4:L4"/>
    <mergeCell ref="A8:A11"/>
    <mergeCell ref="D2:F2"/>
    <mergeCell ref="A1:C3"/>
    <mergeCell ref="A5:A6"/>
    <mergeCell ref="A25:A27"/>
  </mergeCells>
  <dataValidations count="29">
    <dataValidation type="custom" allowBlank="1" showInputMessage="1" showErrorMessage="1" errorTitle="bla" sqref="P87:P88">
      <formula1>P87</formula1>
    </dataValidation>
    <dataValidation errorStyle="warning" type="decimal" allowBlank="1" showInputMessage="1" showErrorMessage="1" error="Eingabe außerhalb Plausibilitätsbereich!&#10;&#10;Fortfahren ohne Garantie für plausible Ergebnisse!" sqref="F53">
      <formula1>0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" sqref="I50">
      <formula1>65000</formula1>
      <formula2>100000</formula2>
    </dataValidation>
    <dataValidation errorStyle="warning" type="decimal" allowBlank="1" showInputMessage="1" showErrorMessage="1" error="Eingabe außerhalb Plausibilitätsbereich!&#10;&#10;Fortfahren ohne Garantie für plausible Ergebnisse!&#10;" sqref="F36 I36">
      <formula1>11.5</formula1>
      <formula2>22</formula2>
    </dataValidation>
    <dataValidation errorStyle="warning" type="decimal" allowBlank="1" showInputMessage="1" showErrorMessage="1" error="Eingabe außerhalb Plausibilitätsbereich!&#10;&#10;Fortfahren ohne Garantie für plausible Ergebnisse!&#10;" sqref="F37 I37">
      <formula1>1.5</formula1>
      <formula2>4.5</formula2>
    </dataValidation>
    <dataValidation errorStyle="warning" type="decimal" allowBlank="1" showInputMessage="1" showErrorMessage="1" error="Eingabe außerhalb Plausibilitätsbereich!&#10;&#10;Fortfahren ohne Garantie für plausible Ergebnisse!&#10;" sqref="F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I40">
      <formula1>1</formula1>
      <formula2>2.5</formula2>
    </dataValidation>
    <dataValidation errorStyle="warning" type="decimal" allowBlank="1" showInputMessage="1" showErrorMessage="1" error="Eingabe außerhalb Plausibilitätsbereich!&#10;&#10;Fortfahren ohne Garantie für plausible Ergebnisse!&#10;" sqref="I39">
      <formula1>0.5</formula1>
      <formula2>1</formula2>
    </dataValidation>
    <dataValidation errorStyle="warning" type="decimal" allowBlank="1" showInputMessage="1" showErrorMessage="1" error="Eingabe außerhalb Plausibilitätsbereich!&#10;&#10;Fortfahren ohne Garantie für plausible Ergebnisse!" sqref="I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F27">
      <formula1>10</formula1>
      <formula2>25</formula2>
    </dataValidation>
    <dataValidation errorStyle="warning" type="decimal" allowBlank="1" showInputMessage="1" showErrorMessage="1" error="Eingabe außerhalb Plausibilitätsbereich!&#10;&#10;Fortfahren ohne Garantie für plausible Ergebnisse!&#10;" sqref="I27">
      <formula1>20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&#10;" sqref="L27">
      <formula1>10</formula1>
      <formula2>30</formula2>
    </dataValidation>
    <dataValidation errorStyle="warning" type="decimal" allowBlank="1" showInputMessage="1" showErrorMessage="1" error="Eingabe außerhalb Plausibilitätsbereich!&#10;&#10;Fortfahren ohne Garantie für plausible Ergebnisse!&#10;" sqref="F26">
      <formula1>2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&#10;" sqref="I26">
      <formula1>3</formula1>
      <formula2>6.5</formula2>
    </dataValidation>
    <dataValidation errorStyle="warning" type="decimal" allowBlank="1" showInputMessage="1" showErrorMessage="1" error="Eingabe außerhalb Plausibilitätsbereich!&#10;&#10;Fortfahren ohne Garantie für plausible Ergebnisse!" sqref="F8">
      <formula1>25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" sqref="F9">
      <formula1>3</formula1>
      <formula2>6</formula2>
    </dataValidation>
    <dataValidation errorStyle="warning" type="decimal" allowBlank="1" showInputMessage="1" showErrorMessage="1" errorTitle="Plausibiltätskontrolle" error="Eingabe außerhalb des Plausibilitätsbereiches!&#10;&#10;Fortfahren ohne Garantie für plausible Ergebnisse&#10;" sqref="I9">
      <formula1>3</formula1>
      <formula2>6</formula2>
    </dataValidation>
    <dataValidation errorStyle="warning" type="list" allowBlank="1" showInputMessage="1" showErrorMessage="1" error="Eingabe außerhalb Plausibilitätsbereich!&#10;&#10;Fortfahren ohne Garantie für plausible Ergebnisse!&#10;" sqref="F7">
      <formula1>$AB$84:$AB$184</formula1>
    </dataValidation>
    <dataValidation errorStyle="warning" type="whole" allowBlank="1" showInputMessage="1" showErrorMessage="1" error="Eingabe außerhalb Plausibilitätsbereich!&#10;&#10;Fortfahren ohne Garantie für plausible Ergebnisse!&#10;" sqref="F5:F6">
      <formula1>1000</formula1>
      <formula2>15000</formula2>
    </dataValidation>
    <dataValidation errorStyle="warning" type="decimal" allowBlank="1" showInputMessage="1" showErrorMessage="1" error="Eingabe außerhalb Plausibilitätsbereich!&#10;&#10;Fortfahren ohne Garantie für plausible Ergebnisse!&#10;" sqref="I28">
      <formula1>6</formula1>
      <formula2>10</formula2>
    </dataValidation>
    <dataValidation errorStyle="warning" type="decimal" allowBlank="1" showInputMessage="1" showErrorMessage="1" error="Eingabe außerhalb Plausibilitätsbereich!&#10;&#10;Fortfahren ohne Garantie für plausible Ergebnisse!&#10;" sqref="I29">
      <formula1>5</formula1>
      <formula2>7</formula2>
    </dataValidation>
    <dataValidation errorStyle="warning" type="decimal" allowBlank="1" showInputMessage="1" showErrorMessage="1" error="Eingabe außerhalb Plausibilitätsbereich!&#10;&#10;Fortfahren ohne Garantie für plausible Ergebnisse!" sqref="I30">
      <formula1>25</formula1>
      <formula2>40</formula2>
    </dataValidation>
    <dataValidation errorStyle="warning" type="decimal" allowBlank="1" showInputMessage="1" showErrorMessage="1" error="Eingabe außerhalb Plausibilitätsbereich!&#10;&#10;Fortfahren ohne Garantie für plausible Ergebnisse!&#10;" sqref="I31">
      <formula1>40</formula1>
      <formula2>60</formula2>
    </dataValidation>
    <dataValidation errorStyle="warning" type="decimal" allowBlank="1" showInputMessage="1" showErrorMessage="1" error="Eingabe außerhalb Plausibilitätsbereich!&#10;&#10;Fortfahren ohne Garantie für plausible Ergebnisse!&#10;" sqref="I32">
      <formula1>0</formula1>
      <formula2>100</formula2>
    </dataValidation>
    <dataValidation errorStyle="warning" type="decimal" allowBlank="1" showInputMessage="1" showErrorMessage="1" error="Eingabe außerhalb Plausibilitätsbereich!&#10;&#10;Fortfahren ohne Garantie für plausible Ergebnisse!&#10;" sqref="I33">
      <formula1>0</formula1>
      <formula2>0.2</formula2>
    </dataValidation>
    <dataValidation errorStyle="warning" type="decimal" allowBlank="1" showInputMessage="1" showErrorMessage="1" error="Eingabe außerhalb Plausibilitätsbereich!&#10;&#10;Fortfahren ohne Garantie für plausible Ergebnisse!&#10;" sqref="I34">
      <formula1>0</formula1>
      <formula2>0.1</formula2>
    </dataValidation>
    <dataValidation type="decimal" allowBlank="1" showInputMessage="1" showErrorMessage="1" error="Eingabe außerhalb Plausibilitätsbereich!&#10;&#10;Fortfahren ohne Garantie für plausible Ergebnisse!" sqref="I7">
      <formula1>0</formula1>
      <formula2>100</formula2>
    </dataValidation>
    <dataValidation errorStyle="warning" allowBlank="1" showInputMessage="1" showErrorMessage="1" sqref="I49"/>
    <dataValidation errorStyle="warning" type="decimal" allowBlank="1" showInputMessage="1" showErrorMessage="1" error="Eingabe außerhalb Plausibilitätsbereich!&#10;&#10;Fortfahren ohne Garantie für plausible Ergebnisse!" sqref="I22 L22">
      <formula1>0</formula1>
      <formula2>14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15" zoomScaleNormal="115" zoomScaleSheetLayoutView="115" zoomScalePageLayoutView="0" workbookViewId="0" topLeftCell="I1">
      <selection activeCell="A21" sqref="A1:H16384"/>
    </sheetView>
  </sheetViews>
  <sheetFormatPr defaultColWidth="11.421875" defaultRowHeight="12.75"/>
  <cols>
    <col min="1" max="1" width="44.00390625" style="238" hidden="1" customWidth="1"/>
    <col min="2" max="2" width="12.7109375" style="238" hidden="1" customWidth="1"/>
    <col min="3" max="3" width="0" style="238" hidden="1" customWidth="1"/>
    <col min="4" max="4" width="40.140625" style="238" hidden="1" customWidth="1"/>
    <col min="5" max="5" width="11.140625" style="238" hidden="1" customWidth="1"/>
    <col min="6" max="6" width="6.57421875" style="238" hidden="1" customWidth="1"/>
    <col min="7" max="7" width="40.57421875" style="238" hidden="1" customWidth="1"/>
    <col min="8" max="8" width="0" style="238" hidden="1" customWidth="1"/>
    <col min="9" max="16384" width="11.421875" style="238" customWidth="1"/>
  </cols>
  <sheetData>
    <row r="1" spans="1:7" ht="26.25">
      <c r="A1" s="236" t="s">
        <v>223</v>
      </c>
      <c r="B1" s="237"/>
      <c r="C1" s="237"/>
      <c r="D1" s="237"/>
      <c r="E1" s="237"/>
      <c r="F1" s="237"/>
      <c r="G1" s="237"/>
    </row>
    <row r="2" spans="1:8" ht="14.25" customHeight="1">
      <c r="A2" s="238" t="s">
        <v>212</v>
      </c>
      <c r="B2" s="239">
        <f>'Variante A'!B3</f>
        <v>3100</v>
      </c>
      <c r="C2" s="240"/>
      <c r="F2" s="240"/>
      <c r="G2" s="240"/>
      <c r="H2" s="241"/>
    </row>
    <row r="3" spans="1:8" ht="15" customHeight="1">
      <c r="A3" s="238" t="s">
        <v>211</v>
      </c>
      <c r="B3" s="239">
        <f>'Variante A'!B5</f>
        <v>25</v>
      </c>
      <c r="C3" s="240"/>
      <c r="F3" s="240"/>
      <c r="G3" s="240"/>
      <c r="H3" s="240"/>
    </row>
    <row r="4" spans="1:8" ht="15" customHeight="1">
      <c r="A4" s="236"/>
      <c r="B4" s="237"/>
      <c r="C4" s="237"/>
      <c r="D4" s="237"/>
      <c r="E4" s="242"/>
      <c r="F4" s="237"/>
      <c r="G4" s="237"/>
      <c r="H4" s="237"/>
    </row>
    <row r="5" spans="1:7" ht="12.75">
      <c r="A5" s="243" t="s">
        <v>164</v>
      </c>
      <c r="B5" s="243"/>
      <c r="C5" s="243"/>
      <c r="D5" s="243" t="s">
        <v>165</v>
      </c>
      <c r="E5" s="243"/>
      <c r="F5" s="243"/>
      <c r="G5" s="243" t="s">
        <v>166</v>
      </c>
    </row>
    <row r="7" ht="15" customHeight="1">
      <c r="A7" s="243" t="s">
        <v>178</v>
      </c>
    </row>
    <row r="8" spans="1:2" ht="12.75">
      <c r="A8" s="244" t="s">
        <v>172</v>
      </c>
      <c r="B8" s="245">
        <v>30</v>
      </c>
    </row>
    <row r="9" spans="1:2" ht="12.75">
      <c r="A9" s="238" t="s">
        <v>173</v>
      </c>
      <c r="B9" s="246">
        <v>26.2</v>
      </c>
    </row>
    <row r="10" spans="1:2" ht="12.75">
      <c r="A10" s="244" t="s">
        <v>187</v>
      </c>
      <c r="B10" s="238">
        <f>B9*B8</f>
        <v>786</v>
      </c>
    </row>
    <row r="11" ht="12.75">
      <c r="A11" s="244"/>
    </row>
    <row r="12" ht="12.75">
      <c r="A12" s="244"/>
    </row>
    <row r="13" ht="12.75">
      <c r="A13" s="247" t="s">
        <v>179</v>
      </c>
    </row>
    <row r="14" spans="1:2" ht="12.75">
      <c r="A14" s="244" t="s">
        <v>174</v>
      </c>
      <c r="B14" s="248">
        <v>154.73</v>
      </c>
    </row>
    <row r="15" spans="1:2" ht="12.75">
      <c r="A15" s="244" t="s">
        <v>176</v>
      </c>
      <c r="B15" s="238">
        <v>260</v>
      </c>
    </row>
    <row r="16" ht="12.75">
      <c r="A16" s="244"/>
    </row>
    <row r="17" spans="1:7" ht="12.75">
      <c r="A17" s="243" t="s">
        <v>181</v>
      </c>
      <c r="D17" s="243" t="s">
        <v>177</v>
      </c>
      <c r="G17" s="243" t="s">
        <v>177</v>
      </c>
    </row>
    <row r="18" spans="1:8" ht="12.75">
      <c r="A18" s="249" t="s">
        <v>216</v>
      </c>
      <c r="B18" s="244">
        <f>Stromkosten!B15*'Variante A'!B3</f>
        <v>65410.00000000001</v>
      </c>
      <c r="D18" s="249" t="s">
        <v>216</v>
      </c>
      <c r="E18" s="244">
        <f>Stromkosten!F15*'Variante A'!B3</f>
        <v>59085.99999999999</v>
      </c>
      <c r="G18" s="249" t="s">
        <v>216</v>
      </c>
      <c r="H18" s="244">
        <f>Stromkosten!K15*'Variante A'!B3</f>
        <v>59085.99999999999</v>
      </c>
    </row>
    <row r="19" spans="1:8" ht="12.75">
      <c r="A19" s="238" t="s">
        <v>217</v>
      </c>
      <c r="B19" s="244">
        <f>Stromkosten!B16*'Variante A'!B3</f>
        <v>7005.999999999999</v>
      </c>
      <c r="D19" s="238" t="s">
        <v>217</v>
      </c>
      <c r="E19" s="244">
        <f>Stromkosten!F16*'Variante A'!B3</f>
        <v>9641.000000000002</v>
      </c>
      <c r="F19" s="250"/>
      <c r="G19" s="238" t="s">
        <v>217</v>
      </c>
      <c r="H19" s="244">
        <f>Stromkosten!K16*1.2*'Variante A'!B3</f>
        <v>7997.999999999999</v>
      </c>
    </row>
    <row r="20" spans="1:8" ht="12.75">
      <c r="A20" s="238" t="s">
        <v>180</v>
      </c>
      <c r="B20" s="244">
        <f>B14*(B19+B18)/10^6</f>
        <v>11.204927679999999</v>
      </c>
      <c r="D20" s="238" t="s">
        <v>180</v>
      </c>
      <c r="E20" s="251">
        <f>B14*(E18+E19)/10^6</f>
        <v>10.634128709999999</v>
      </c>
      <c r="F20" s="251"/>
      <c r="G20" s="238" t="s">
        <v>180</v>
      </c>
      <c r="H20" s="251">
        <f>(H19+H18)*B14/10^6</f>
        <v>10.379907319999997</v>
      </c>
    </row>
    <row r="22" spans="1:7" ht="12.75">
      <c r="A22" s="243"/>
      <c r="D22" s="243" t="s">
        <v>182</v>
      </c>
      <c r="G22" s="243" t="s">
        <v>182</v>
      </c>
    </row>
    <row r="23" spans="1:8" ht="12.75">
      <c r="A23" s="249"/>
      <c r="B23" s="253"/>
      <c r="D23" s="249" t="s">
        <v>199</v>
      </c>
      <c r="E23" s="250">
        <f>'Variante A'!B5</f>
        <v>25</v>
      </c>
      <c r="F23" s="250"/>
      <c r="G23" s="249" t="s">
        <v>200</v>
      </c>
      <c r="H23" s="250">
        <f>'Variante A'!B5</f>
        <v>25</v>
      </c>
    </row>
    <row r="24" spans="1:8" ht="12.75">
      <c r="A24" s="249"/>
      <c r="B24" s="522"/>
      <c r="D24" s="249" t="s">
        <v>183</v>
      </c>
      <c r="E24" s="250">
        <f>'Dateneingabe und Ergebnisse'!I25</f>
        <v>1142.2219983774276</v>
      </c>
      <c r="F24" s="250"/>
      <c r="G24" s="249" t="s">
        <v>183</v>
      </c>
      <c r="H24" s="250">
        <f>'Dateneingabe und Ergebnisse'!L25</f>
        <v>2249.8312089252363</v>
      </c>
    </row>
    <row r="25" spans="1:8" ht="12.75">
      <c r="A25" s="249"/>
      <c r="B25" s="253"/>
      <c r="D25" s="249" t="s">
        <v>190</v>
      </c>
      <c r="E25" s="246">
        <v>14.5</v>
      </c>
      <c r="F25" s="253"/>
      <c r="G25" s="249" t="s">
        <v>190</v>
      </c>
      <c r="H25" s="238">
        <f>E25</f>
        <v>14.5</v>
      </c>
    </row>
    <row r="26" spans="1:8" ht="12.75">
      <c r="A26" s="249"/>
      <c r="B26" s="248"/>
      <c r="D26" s="249" t="s">
        <v>185</v>
      </c>
      <c r="E26" s="250">
        <f>E24/E25*E23*2</f>
        <v>3938.6965461290606</v>
      </c>
      <c r="F26" s="250"/>
      <c r="G26" s="249" t="s">
        <v>185</v>
      </c>
      <c r="H26" s="250">
        <f>H24/H25*H23*2</f>
        <v>7758.038651466331</v>
      </c>
    </row>
    <row r="27" spans="1:4" ht="12.75">
      <c r="A27" s="243"/>
      <c r="D27" s="243"/>
    </row>
    <row r="28" spans="1:4" ht="12.75">
      <c r="A28" s="243"/>
      <c r="D28" s="243"/>
    </row>
    <row r="29" ht="12.75">
      <c r="A29" s="249"/>
    </row>
    <row r="30" spans="1:2" ht="12.75">
      <c r="A30" s="249"/>
      <c r="B30" s="248"/>
    </row>
    <row r="31" spans="1:2" ht="12.75">
      <c r="A31" s="249"/>
      <c r="B31" s="248"/>
    </row>
    <row r="32" spans="1:7" ht="12.75">
      <c r="A32" s="243"/>
      <c r="B32" s="248"/>
      <c r="D32" s="243" t="s">
        <v>186</v>
      </c>
      <c r="G32" s="243" t="s">
        <v>186</v>
      </c>
    </row>
    <row r="33" spans="1:8" ht="12.75">
      <c r="A33" s="249"/>
      <c r="B33" s="248"/>
      <c r="D33" s="249" t="s">
        <v>184</v>
      </c>
      <c r="E33" s="250">
        <f>E26</f>
        <v>3938.6965461290606</v>
      </c>
      <c r="F33" s="250"/>
      <c r="G33" s="249" t="s">
        <v>184</v>
      </c>
      <c r="H33" s="252">
        <f>H26</f>
        <v>7758.038651466331</v>
      </c>
    </row>
    <row r="34" spans="1:8" ht="12.75">
      <c r="A34" s="249"/>
      <c r="B34" s="251"/>
      <c r="D34" s="249" t="s">
        <v>180</v>
      </c>
      <c r="E34" s="248">
        <f>E33*B10/10^6</f>
        <v>3.0958154852574418</v>
      </c>
      <c r="F34" s="248"/>
      <c r="G34" s="249" t="s">
        <v>180</v>
      </c>
      <c r="H34" s="248">
        <f>H33*B10/10^6</f>
        <v>6.097818380052536</v>
      </c>
    </row>
    <row r="35" spans="1:3" ht="12.75">
      <c r="A35" s="244"/>
      <c r="B35" s="254"/>
      <c r="C35" s="238" t="s">
        <v>171</v>
      </c>
    </row>
    <row r="36" spans="1:7" ht="12.75">
      <c r="A36" s="247" t="s">
        <v>188</v>
      </c>
      <c r="B36" s="254"/>
      <c r="D36" s="247" t="s">
        <v>188</v>
      </c>
      <c r="G36" s="247" t="s">
        <v>188</v>
      </c>
    </row>
    <row r="37" spans="1:8" ht="12.75">
      <c r="A37" s="238" t="s">
        <v>189</v>
      </c>
      <c r="B37" s="255">
        <f>B34+B20</f>
        <v>11.204927679999999</v>
      </c>
      <c r="D37" s="238" t="s">
        <v>189</v>
      </c>
      <c r="E37" s="251">
        <f>E34+E20</f>
        <v>13.72994419525744</v>
      </c>
      <c r="F37" s="251"/>
      <c r="G37" s="238" t="s">
        <v>189</v>
      </c>
      <c r="H37" s="251">
        <f>H34+H20</f>
        <v>16.477725700052535</v>
      </c>
    </row>
    <row r="38" ht="12.75">
      <c r="A38" s="244"/>
    </row>
    <row r="39" spans="1:7" ht="12.75">
      <c r="A39" s="244"/>
      <c r="D39" s="243" t="s">
        <v>191</v>
      </c>
      <c r="G39" s="243" t="s">
        <v>191</v>
      </c>
    </row>
    <row r="40" spans="1:8" ht="12.75">
      <c r="A40" s="247"/>
      <c r="D40" s="238" t="s">
        <v>193</v>
      </c>
      <c r="E40" s="250">
        <f>'ele. und th. Erlös'!F7</f>
        <v>21996.359999999997</v>
      </c>
      <c r="F40" s="250"/>
      <c r="G40" s="238" t="s">
        <v>193</v>
      </c>
      <c r="H40" s="250">
        <f>'ele. und th. Erlös'!J7</f>
        <v>21996.359999999997</v>
      </c>
    </row>
    <row r="41" spans="1:8" ht="12.75">
      <c r="A41" s="244"/>
      <c r="B41" s="248"/>
      <c r="C41" s="238" t="s">
        <v>175</v>
      </c>
      <c r="D41" s="238" t="s">
        <v>194</v>
      </c>
      <c r="E41" s="250">
        <f>'ele. und th. Erlös'!F8</f>
        <v>20163.329999999998</v>
      </c>
      <c r="F41" s="250"/>
      <c r="G41" s="238" t="s">
        <v>194</v>
      </c>
      <c r="H41" s="250">
        <f>'ele. und th. Erlös'!J8</f>
        <v>20163.329999999998</v>
      </c>
    </row>
    <row r="42" spans="1:8" ht="12.75">
      <c r="A42" s="244"/>
      <c r="D42" s="238" t="s">
        <v>192</v>
      </c>
      <c r="E42" s="251">
        <f>E40*B14/10^6</f>
        <v>3.403496782799999</v>
      </c>
      <c r="F42" s="251"/>
      <c r="G42" s="238" t="s">
        <v>192</v>
      </c>
      <c r="H42" s="248">
        <f>H40*B14/10^6</f>
        <v>3.403496782799999</v>
      </c>
    </row>
    <row r="43" spans="4:8" ht="12.75">
      <c r="D43" s="238" t="s">
        <v>197</v>
      </c>
      <c r="E43" s="251">
        <f>E41*B15/10^6</f>
        <v>5.2424658</v>
      </c>
      <c r="F43" s="251" t="s">
        <v>195</v>
      </c>
      <c r="G43" s="238" t="s">
        <v>197</v>
      </c>
      <c r="H43" s="248">
        <f>H41*B15/10^6</f>
        <v>5.2424658</v>
      </c>
    </row>
    <row r="44" spans="4:8" ht="12.75">
      <c r="D44" s="238" t="s">
        <v>196</v>
      </c>
      <c r="E44" s="251">
        <f>E43+E42</f>
        <v>8.6459625828</v>
      </c>
      <c r="G44" s="238" t="s">
        <v>196</v>
      </c>
      <c r="H44" s="251">
        <f>H43+H42</f>
        <v>8.6459625828</v>
      </c>
    </row>
    <row r="46" spans="1:8" ht="12.75">
      <c r="A46" s="243" t="s">
        <v>198</v>
      </c>
      <c r="B46" s="256">
        <f>B37</f>
        <v>11.204927679999999</v>
      </c>
      <c r="D46" s="243" t="s">
        <v>198</v>
      </c>
      <c r="E46" s="256">
        <f>E37-E44</f>
        <v>5.083981612457441</v>
      </c>
      <c r="G46" s="243" t="s">
        <v>198</v>
      </c>
      <c r="H46" s="256">
        <f>H37-H44</f>
        <v>7.831763117252535</v>
      </c>
    </row>
    <row r="50" ht="12.75">
      <c r="A50" s="243"/>
    </row>
    <row r="51" spans="1:7" ht="26.25">
      <c r="A51" s="236" t="s">
        <v>223</v>
      </c>
      <c r="B51" s="237"/>
      <c r="C51" s="237"/>
      <c r="D51" s="237"/>
      <c r="E51" s="237"/>
      <c r="F51" s="237"/>
      <c r="G51" s="237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3" t="s">
        <v>155</v>
      </c>
      <c r="B53" s="238" t="s">
        <v>219</v>
      </c>
      <c r="D53" s="243" t="s">
        <v>273</v>
      </c>
      <c r="G53" s="243" t="s">
        <v>274</v>
      </c>
    </row>
    <row r="54" spans="1:8" ht="12.75">
      <c r="A54" s="249" t="s">
        <v>210</v>
      </c>
      <c r="B54" s="251">
        <f>B18*$B$14/10^6</f>
        <v>10.1208893</v>
      </c>
      <c r="D54" s="249" t="s">
        <v>210</v>
      </c>
      <c r="E54" s="251">
        <f>E18*$B$14/10^6</f>
        <v>9.142376779999998</v>
      </c>
      <c r="G54" s="249" t="s">
        <v>210</v>
      </c>
      <c r="H54" s="251">
        <f>H18*$B$14/10^6</f>
        <v>9.142376779999998</v>
      </c>
    </row>
    <row r="55" spans="1:8" ht="12.75">
      <c r="A55" s="238" t="s">
        <v>108</v>
      </c>
      <c r="B55" s="251">
        <f>B19*$B$14/10^6</f>
        <v>1.08403838</v>
      </c>
      <c r="D55" s="238" t="s">
        <v>108</v>
      </c>
      <c r="E55" s="251">
        <f>E19*$B$14/10^6</f>
        <v>1.4917519300000002</v>
      </c>
      <c r="G55" s="238" t="s">
        <v>108</v>
      </c>
      <c r="H55" s="251">
        <f>H19*$B$14/10^6</f>
        <v>1.2375305399999998</v>
      </c>
    </row>
    <row r="56" spans="1:8" ht="12.75">
      <c r="A56" s="238" t="s">
        <v>218</v>
      </c>
      <c r="B56" s="251">
        <f>B34</f>
        <v>0</v>
      </c>
      <c r="D56" s="238" t="s">
        <v>218</v>
      </c>
      <c r="E56" s="248">
        <f>E34</f>
        <v>3.0958154852574418</v>
      </c>
      <c r="G56" s="238" t="s">
        <v>218</v>
      </c>
      <c r="H56" s="248">
        <f>H34</f>
        <v>6.097818380052536</v>
      </c>
    </row>
    <row r="57" spans="1:8" ht="12.75">
      <c r="A57" s="238" t="s">
        <v>222</v>
      </c>
      <c r="B57" s="251">
        <f>B46</f>
        <v>11.204927679999999</v>
      </c>
      <c r="D57" s="238" t="s">
        <v>220</v>
      </c>
      <c r="E57" s="251">
        <f>E42*(-1)</f>
        <v>-3.403496782799999</v>
      </c>
      <c r="G57" s="238" t="s">
        <v>220</v>
      </c>
      <c r="H57" s="248">
        <f>H42*(-1)</f>
        <v>-3.403496782799999</v>
      </c>
    </row>
    <row r="58" spans="4:8" ht="12.75">
      <c r="D58" s="238" t="s">
        <v>221</v>
      </c>
      <c r="E58" s="251">
        <f>E43*(-1)</f>
        <v>-5.2424658</v>
      </c>
      <c r="G58" s="238" t="s">
        <v>221</v>
      </c>
      <c r="H58" s="248">
        <f>H43*(-1)</f>
        <v>-5.2424658</v>
      </c>
    </row>
    <row r="59" spans="4:8" ht="12.75">
      <c r="D59" s="238" t="s">
        <v>222</v>
      </c>
      <c r="E59" s="251">
        <f>E46</f>
        <v>5.083981612457441</v>
      </c>
      <c r="G59" s="238" t="s">
        <v>222</v>
      </c>
      <c r="H59" s="251">
        <f>H46</f>
        <v>7.831763117252535</v>
      </c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M1">
      <selection activeCell="A1" sqref="A1:L16384"/>
    </sheetView>
  </sheetViews>
  <sheetFormatPr defaultColWidth="11.421875" defaultRowHeight="12.75"/>
  <cols>
    <col min="1" max="1" width="28.7109375" style="0" hidden="1" customWidth="1"/>
    <col min="2" max="2" width="11.57421875" style="0" hidden="1" customWidth="1"/>
    <col min="3" max="3" width="12.28125" style="0" hidden="1" customWidth="1"/>
    <col min="4" max="4" width="0" style="0" hidden="1" customWidth="1"/>
    <col min="5" max="5" width="29.140625" style="0" hidden="1" customWidth="1"/>
    <col min="6" max="6" width="11.57421875" style="0" hidden="1" customWidth="1"/>
    <col min="7" max="8" width="12.28125" style="0" hidden="1" customWidth="1"/>
    <col min="9" max="9" width="0" style="0" hidden="1" customWidth="1"/>
    <col min="10" max="10" width="29.00390625" style="0" hidden="1" customWidth="1"/>
    <col min="11" max="12" width="0" style="0" hidden="1" customWidth="1"/>
  </cols>
  <sheetData>
    <row r="1" spans="1:7" ht="26.25">
      <c r="A1" s="99" t="s">
        <v>121</v>
      </c>
      <c r="B1" s="100"/>
      <c r="C1" s="100"/>
      <c r="D1" s="100"/>
      <c r="E1" s="100"/>
      <c r="F1" s="100"/>
      <c r="G1" s="22"/>
    </row>
    <row r="2" spans="1:12" ht="14.25" customHeight="1">
      <c r="A2" t="s">
        <v>212</v>
      </c>
      <c r="B2" s="106">
        <f>'Variante A'!B3</f>
        <v>3100</v>
      </c>
      <c r="C2" s="22"/>
      <c r="F2" s="22"/>
      <c r="G2" s="146"/>
      <c r="H2" s="146"/>
      <c r="I2" s="146"/>
      <c r="J2" s="146"/>
      <c r="K2" s="146"/>
      <c r="L2" s="146"/>
    </row>
    <row r="3" spans="1:12" ht="15" customHeight="1">
      <c r="A3" t="s">
        <v>211</v>
      </c>
      <c r="B3" s="106">
        <f>'Variante A'!B5</f>
        <v>25</v>
      </c>
      <c r="C3" s="22"/>
      <c r="F3" s="22"/>
      <c r="G3" s="22"/>
      <c r="H3" s="22"/>
      <c r="I3" s="22"/>
      <c r="J3" s="22"/>
      <c r="K3" s="22"/>
      <c r="L3" s="22"/>
    </row>
    <row r="4" spans="1:12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0" ht="12.75">
      <c r="A6" t="s">
        <v>164</v>
      </c>
      <c r="E6" t="s">
        <v>165</v>
      </c>
      <c r="J6" t="s">
        <v>166</v>
      </c>
    </row>
    <row r="9" spans="1:3" ht="12.75">
      <c r="A9" t="s">
        <v>161</v>
      </c>
      <c r="B9" s="121">
        <f>'Dateneingabe und Ergebnisse'!F12*100</f>
        <v>14.000000000000002</v>
      </c>
      <c r="C9" t="s">
        <v>141</v>
      </c>
    </row>
    <row r="10" ht="12.75">
      <c r="B10" s="12"/>
    </row>
    <row r="11" ht="12.75">
      <c r="B11" s="12"/>
    </row>
    <row r="13" spans="1:10" ht="12.75">
      <c r="A13" s="2" t="s">
        <v>143</v>
      </c>
      <c r="E13" s="2" t="s">
        <v>143</v>
      </c>
      <c r="J13" s="2" t="s">
        <v>143</v>
      </c>
    </row>
    <row r="14" spans="1:10" ht="12.75">
      <c r="A14" s="2"/>
      <c r="E14" s="2"/>
      <c r="J14" s="2"/>
    </row>
    <row r="15" spans="1:12" ht="15.75">
      <c r="A15" s="2" t="s">
        <v>210</v>
      </c>
      <c r="B15" s="122">
        <f>'Dateneingabe und Ergebnisse'!F36+'Dateneingabe und Ergebnisse'!F37</f>
        <v>21.1</v>
      </c>
      <c r="C15" s="53" t="s">
        <v>30</v>
      </c>
      <c r="E15" s="2" t="s">
        <v>210</v>
      </c>
      <c r="F15" s="122">
        <f>'Dateneingabe und Ergebnisse'!I36+'Dateneingabe und Ergebnisse'!I37</f>
        <v>19.06</v>
      </c>
      <c r="G15" s="53" t="s">
        <v>30</v>
      </c>
      <c r="J15" s="2" t="s">
        <v>210</v>
      </c>
      <c r="K15" s="122">
        <f>'Dateneingabe und Ergebnisse'!L36+'Dateneingabe und Ergebnisse'!L37</f>
        <v>19.06</v>
      </c>
      <c r="L15" s="53" t="s">
        <v>30</v>
      </c>
    </row>
    <row r="16" spans="1:12" ht="15.75">
      <c r="A16" s="2" t="s">
        <v>108</v>
      </c>
      <c r="B16" s="122">
        <f>'Dateneingabe und Ergebnisse'!F40+'Dateneingabe und Ergebnisse'!F41</f>
        <v>2.26</v>
      </c>
      <c r="C16" s="53" t="s">
        <v>30</v>
      </c>
      <c r="E16" s="2" t="s">
        <v>108</v>
      </c>
      <c r="F16" s="122">
        <f>'Dateneingabe und Ergebnisse'!I39+'Dateneingabe und Ergebnisse'!I40+'Dateneingabe und Ergebnisse'!I41</f>
        <v>3.1100000000000003</v>
      </c>
      <c r="G16" s="53" t="s">
        <v>30</v>
      </c>
      <c r="J16" s="2" t="s">
        <v>108</v>
      </c>
      <c r="K16" s="122">
        <f>'Dateneingabe und Ergebnisse'!L40+'Dateneingabe und Ergebnisse'!L41</f>
        <v>2.15</v>
      </c>
      <c r="L16" s="53" t="s">
        <v>30</v>
      </c>
    </row>
    <row r="17" spans="1:10" ht="12.75">
      <c r="A17" s="2"/>
      <c r="E17" s="2"/>
      <c r="J17" s="2"/>
    </row>
    <row r="18" spans="1:10" ht="12.75">
      <c r="A18" s="2"/>
      <c r="E18" s="2"/>
      <c r="J18" s="2"/>
    </row>
    <row r="19" spans="1:10" ht="12.75">
      <c r="A19" s="2"/>
      <c r="E19" s="2"/>
      <c r="J19" s="2"/>
    </row>
    <row r="20" spans="1:10" ht="12.75">
      <c r="A20" s="2"/>
      <c r="E20" s="2"/>
      <c r="J20" s="2"/>
    </row>
    <row r="21" spans="1:10" ht="12.75">
      <c r="A21" s="2"/>
      <c r="E21" s="2"/>
      <c r="J21" s="2"/>
    </row>
    <row r="22" spans="3:12" ht="12.75">
      <c r="C22" s="22"/>
      <c r="G22" s="22"/>
      <c r="H22" s="22"/>
      <c r="L22" s="22"/>
    </row>
    <row r="23" spans="1:12" ht="15.75">
      <c r="A23" s="110" t="s">
        <v>142</v>
      </c>
      <c r="B23" s="120">
        <f>B15+B16</f>
        <v>23.36</v>
      </c>
      <c r="C23" s="53" t="s">
        <v>30</v>
      </c>
      <c r="E23" s="110" t="s">
        <v>142</v>
      </c>
      <c r="F23" s="122">
        <f>F15+F16</f>
        <v>22.169999999999998</v>
      </c>
      <c r="G23" s="53" t="s">
        <v>30</v>
      </c>
      <c r="H23" s="53"/>
      <c r="J23" s="110" t="s">
        <v>142</v>
      </c>
      <c r="K23" s="122">
        <f>K15+K16</f>
        <v>21.209999999999997</v>
      </c>
      <c r="L23" s="53" t="s">
        <v>30</v>
      </c>
    </row>
    <row r="25" spans="1:12" ht="12.75">
      <c r="A25" s="110" t="s">
        <v>140</v>
      </c>
      <c r="B25" s="102">
        <f>B23*'Dateneingabe und Ergebnisse'!F6</f>
        <v>72416</v>
      </c>
      <c r="C25" s="53" t="s">
        <v>144</v>
      </c>
      <c r="E25" s="110" t="s">
        <v>140</v>
      </c>
      <c r="F25" s="102">
        <f>F23*'Dateneingabe und Ergebnisse'!F6</f>
        <v>68727</v>
      </c>
      <c r="G25" s="53" t="s">
        <v>144</v>
      </c>
      <c r="H25" s="53"/>
      <c r="J25" s="110" t="s">
        <v>140</v>
      </c>
      <c r="K25" s="102">
        <f>K23*'Dateneingabe und Ergebnisse'!F6</f>
        <v>65750.99999999999</v>
      </c>
      <c r="L25" s="53" t="s">
        <v>144</v>
      </c>
    </row>
    <row r="26" ht="12.75">
      <c r="B26" s="102"/>
    </row>
    <row r="27" spans="1:12" ht="12.75">
      <c r="A27" t="s">
        <v>145</v>
      </c>
      <c r="B27" s="106">
        <f>B25*B9/100</f>
        <v>10138.240000000002</v>
      </c>
      <c r="C27" t="s">
        <v>146</v>
      </c>
      <c r="E27" t="s">
        <v>145</v>
      </c>
      <c r="F27" s="106">
        <f>F25*B9/100</f>
        <v>9621.78</v>
      </c>
      <c r="G27" t="s">
        <v>146</v>
      </c>
      <c r="J27" t="s">
        <v>145</v>
      </c>
      <c r="K27" s="106">
        <f>K25*B9/100</f>
        <v>9205.14</v>
      </c>
      <c r="L27" t="s">
        <v>146</v>
      </c>
    </row>
    <row r="39" spans="5:9" ht="12.75">
      <c r="E39" s="2"/>
      <c r="G39" s="598"/>
      <c r="H39" s="598"/>
      <c r="I39" s="598"/>
    </row>
    <row r="40" ht="12.75">
      <c r="F40" s="133"/>
    </row>
    <row r="41" ht="12.75">
      <c r="F41" s="133"/>
    </row>
    <row r="42" spans="13:16" ht="12.75">
      <c r="M42" s="14"/>
      <c r="N42" s="14"/>
      <c r="O42" s="14"/>
      <c r="P42" s="14"/>
    </row>
    <row r="43" spans="13:16" ht="12.75">
      <c r="M43" s="139"/>
      <c r="N43" s="14"/>
      <c r="O43" s="14"/>
      <c r="P43" s="14"/>
    </row>
    <row r="44" spans="13:16" ht="12.75">
      <c r="M44" s="140"/>
      <c r="N44" s="14"/>
      <c r="O44" s="82"/>
      <c r="P44" s="82"/>
    </row>
    <row r="45" spans="13:16" ht="12.75">
      <c r="M45" s="140"/>
      <c r="N45" s="141"/>
      <c r="O45" s="82"/>
      <c r="P45" s="82"/>
    </row>
    <row r="46" spans="13:16" ht="12.75">
      <c r="M46" s="140"/>
      <c r="N46" s="141"/>
      <c r="O46" s="14"/>
      <c r="P46" s="14"/>
    </row>
    <row r="47" spans="13:16" ht="12.75">
      <c r="M47" s="139"/>
      <c r="N47" s="141"/>
      <c r="O47" s="14"/>
      <c r="P47" s="14"/>
    </row>
    <row r="48" spans="13:16" ht="12.75">
      <c r="M48" s="140"/>
      <c r="N48" s="14"/>
      <c r="O48" s="82"/>
      <c r="P48" s="82"/>
    </row>
    <row r="49" spans="13:16" ht="12.75">
      <c r="M49" s="140"/>
      <c r="N49" s="141"/>
      <c r="O49" s="14"/>
      <c r="P49" s="14"/>
    </row>
    <row r="50" spans="9:14" ht="12.75">
      <c r="I50" s="123"/>
      <c r="J50" s="103"/>
      <c r="M50" s="124"/>
      <c r="N50" s="103"/>
    </row>
  </sheetData>
  <sheetProtection password="CA63" sheet="1" objects="1" scenarios="1" selectLockedCells="1" selectUnlockedCells="1"/>
  <mergeCells count="1">
    <mergeCell ref="G39:I39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70" zoomScalePageLayoutView="0" workbookViewId="0" topLeftCell="IT1">
      <selection activeCell="F1" sqref="A1:F16384"/>
    </sheetView>
  </sheetViews>
  <sheetFormatPr defaultColWidth="0" defaultRowHeight="9.75" customHeight="1"/>
  <cols>
    <col min="1" max="1" width="37.140625" style="238" hidden="1" customWidth="1"/>
    <col min="2" max="2" width="34.8515625" style="238" hidden="1" customWidth="1"/>
    <col min="3" max="3" width="30.140625" style="238" hidden="1" customWidth="1"/>
    <col min="4" max="4" width="4.7109375" style="238" hidden="1" customWidth="1"/>
    <col min="5" max="5" width="35.140625" style="238" hidden="1" customWidth="1"/>
    <col min="6" max="6" width="19.28125" style="238" hidden="1" customWidth="1"/>
    <col min="7" max="253" width="0" style="238" hidden="1" customWidth="1"/>
    <col min="254" max="254" width="13.7109375" style="238" customWidth="1"/>
    <col min="255" max="255" width="20.57421875" style="238" customWidth="1"/>
    <col min="256" max="16384" width="0" style="238" hidden="1" customWidth="1"/>
  </cols>
  <sheetData>
    <row r="1" spans="1:9" ht="26.25">
      <c r="A1" s="236" t="s">
        <v>236</v>
      </c>
      <c r="B1" s="236"/>
      <c r="C1" s="237"/>
      <c r="D1" s="237"/>
      <c r="E1" s="237"/>
      <c r="F1" s="237"/>
      <c r="G1" s="237"/>
      <c r="H1" s="237"/>
      <c r="I1" s="240"/>
    </row>
    <row r="2" spans="1:9" ht="12.75">
      <c r="A2" s="238" t="s">
        <v>212</v>
      </c>
      <c r="C2" s="239">
        <f>'Variante A'!B3</f>
        <v>3100</v>
      </c>
      <c r="D2" s="240"/>
      <c r="E2" s="238">
        <f>$C$2/'Dateneingabe und Ergebnisse'!$F$23*'Dateneingabe und Ergebnisse'!$F$24</f>
        <v>3100</v>
      </c>
      <c r="F2" s="238">
        <f>$C$2/'Dateneingabe und Ergebnisse'!$F$23*'Dateneingabe und Ergebnisse'!$F$24</f>
        <v>3100</v>
      </c>
      <c r="G2" s="240"/>
      <c r="H2" s="240"/>
      <c r="I2" s="240"/>
    </row>
    <row r="3" spans="1:9" ht="12.75">
      <c r="A3" s="238" t="s">
        <v>211</v>
      </c>
      <c r="C3" s="239">
        <f>'Variante A'!B5</f>
        <v>25</v>
      </c>
      <c r="D3" s="240"/>
      <c r="G3" s="240"/>
      <c r="H3" s="240"/>
      <c r="I3" s="240"/>
    </row>
    <row r="4" spans="1:9" ht="26.25">
      <c r="A4" s="236"/>
      <c r="B4" s="236"/>
      <c r="C4" s="237"/>
      <c r="D4" s="237"/>
      <c r="E4" s="237">
        <v>400</v>
      </c>
      <c r="F4" s="242"/>
      <c r="G4" s="237"/>
      <c r="H4" s="237"/>
      <c r="I4" s="240"/>
    </row>
    <row r="5" spans="2:9" ht="12.75">
      <c r="B5" s="257" t="s">
        <v>240</v>
      </c>
      <c r="C5" s="519">
        <f>'Dateneingabe und Ergebnisse'!F10</f>
        <v>0</v>
      </c>
      <c r="D5" s="257" t="s">
        <v>232</v>
      </c>
      <c r="E5" s="258"/>
      <c r="F5" s="258"/>
      <c r="G5" s="240"/>
      <c r="H5" s="240"/>
      <c r="I5" s="240"/>
    </row>
    <row r="6" spans="2:9" ht="12.75">
      <c r="B6" s="257" t="s">
        <v>243</v>
      </c>
      <c r="C6" s="259">
        <f>'Variante F 1-2'!B123</f>
        <v>1044.316852374425</v>
      </c>
      <c r="D6" s="257" t="s">
        <v>232</v>
      </c>
      <c r="E6" s="258"/>
      <c r="F6" s="258"/>
      <c r="G6" s="240"/>
      <c r="H6" s="240"/>
      <c r="I6" s="240"/>
    </row>
    <row r="7" spans="2:9" ht="12.75">
      <c r="B7" s="257" t="s">
        <v>241</v>
      </c>
      <c r="C7" s="260">
        <f>IF(C6&gt;C5,C6-C5,0)</f>
        <v>1044.316852374425</v>
      </c>
      <c r="D7" s="257" t="s">
        <v>232</v>
      </c>
      <c r="E7" s="258"/>
      <c r="F7" s="258"/>
      <c r="G7" s="240"/>
      <c r="H7" s="240"/>
      <c r="I7" s="240"/>
    </row>
    <row r="8" spans="1:9" ht="12.75">
      <c r="A8" s="261"/>
      <c r="B8" s="257"/>
      <c r="C8" s="260"/>
      <c r="D8" s="261"/>
      <c r="E8" s="258"/>
      <c r="F8" s="258"/>
      <c r="G8" s="240"/>
      <c r="H8" s="240"/>
      <c r="I8" s="240"/>
    </row>
    <row r="9" spans="1:9" ht="12.75">
      <c r="A9" s="261"/>
      <c r="B9" s="261"/>
      <c r="C9" s="262"/>
      <c r="D9" s="261"/>
      <c r="E9" s="258"/>
      <c r="F9" s="258"/>
      <c r="G9" s="240"/>
      <c r="H9" s="240"/>
      <c r="I9" s="240"/>
    </row>
    <row r="10" spans="1:9" ht="12.75">
      <c r="A10" s="263"/>
      <c r="B10" s="249" t="s">
        <v>280</v>
      </c>
      <c r="C10" s="264">
        <f>IF(C7=0,0,C30+C33+C31*C7+C34*C7)</f>
        <v>665520.6783980709</v>
      </c>
      <c r="D10" s="249" t="s">
        <v>237</v>
      </c>
      <c r="I10" s="240"/>
    </row>
    <row r="11" spans="1:9" ht="12.75">
      <c r="A11" s="263"/>
      <c r="B11" s="249" t="s">
        <v>275</v>
      </c>
      <c r="C11" s="265">
        <f>IF(C7=0,0,C10/C7)</f>
        <v>637.2785011415845</v>
      </c>
      <c r="D11" s="249" t="s">
        <v>239</v>
      </c>
      <c r="I11" s="240"/>
    </row>
    <row r="19" spans="1:9" ht="12.75">
      <c r="A19" s="263"/>
      <c r="B19" s="263"/>
      <c r="C19" s="263"/>
      <c r="D19" s="263"/>
      <c r="I19" s="240"/>
    </row>
    <row r="20" spans="1:2" ht="12.75">
      <c r="A20" s="238" t="s">
        <v>251</v>
      </c>
      <c r="B20" s="252"/>
    </row>
    <row r="21" spans="1:2" ht="12.75">
      <c r="A21" s="238" t="s">
        <v>257</v>
      </c>
      <c r="B21" s="252"/>
    </row>
    <row r="22" spans="1:3" ht="12.75">
      <c r="A22" s="238" t="s">
        <v>258</v>
      </c>
      <c r="B22" s="250">
        <v>185500</v>
      </c>
      <c r="C22" s="238" t="s">
        <v>237</v>
      </c>
    </row>
    <row r="23" ht="12.75">
      <c r="B23" s="250"/>
    </row>
    <row r="24" spans="1:2" ht="12.75">
      <c r="A24" s="238" t="s">
        <v>260</v>
      </c>
      <c r="B24" s="250"/>
    </row>
    <row r="25" spans="1:3" ht="12.75">
      <c r="A25" s="238" t="s">
        <v>259</v>
      </c>
      <c r="B25" s="250">
        <v>125000</v>
      </c>
      <c r="C25" s="238" t="s">
        <v>237</v>
      </c>
    </row>
    <row r="26" ht="12.75">
      <c r="B26" s="250"/>
    </row>
    <row r="27" spans="2:4" ht="12.75">
      <c r="B27" s="238" t="s">
        <v>253</v>
      </c>
      <c r="C27" s="266">
        <v>70</v>
      </c>
      <c r="D27" s="238" t="s">
        <v>2</v>
      </c>
    </row>
    <row r="28" spans="2:4" ht="12.75">
      <c r="B28" s="238" t="s">
        <v>254</v>
      </c>
      <c r="C28" s="266">
        <v>30</v>
      </c>
      <c r="D28" s="238" t="s">
        <v>2</v>
      </c>
    </row>
    <row r="29" ht="12.75">
      <c r="C29" s="267"/>
    </row>
    <row r="30" spans="2:4" ht="12.75">
      <c r="B30" s="238" t="s">
        <v>252</v>
      </c>
      <c r="C30" s="250">
        <f>B22*(100-C27)/100</f>
        <v>55650</v>
      </c>
      <c r="D30" s="238" t="s">
        <v>237</v>
      </c>
    </row>
    <row r="31" spans="2:4" ht="12.75">
      <c r="B31" s="238" t="s">
        <v>253</v>
      </c>
      <c r="C31" s="250">
        <f>B22*C27/100/C36</f>
        <v>454.02097902097904</v>
      </c>
      <c r="D31" s="238" t="s">
        <v>239</v>
      </c>
    </row>
    <row r="32" ht="12.75">
      <c r="C32" s="250"/>
    </row>
    <row r="33" spans="2:5" ht="12.75">
      <c r="B33" s="238" t="s">
        <v>255</v>
      </c>
      <c r="C33" s="250">
        <f>B25*(100-C28)/100</f>
        <v>87500</v>
      </c>
      <c r="D33" s="238" t="s">
        <v>237</v>
      </c>
      <c r="E33" s="238">
        <f>C33+C7*C34</f>
        <v>135728.91867492726</v>
      </c>
    </row>
    <row r="34" spans="2:4" ht="12.75">
      <c r="B34" s="238" t="s">
        <v>254</v>
      </c>
      <c r="C34" s="250">
        <f>B25*C28/100/C37</f>
        <v>46.18226600985221</v>
      </c>
      <c r="D34" s="238" t="s">
        <v>239</v>
      </c>
    </row>
    <row r="35" ht="12.75">
      <c r="C35" s="250"/>
    </row>
    <row r="36" spans="2:3" ht="12.75">
      <c r="B36" s="238" t="s">
        <v>256</v>
      </c>
      <c r="C36" s="250">
        <v>286</v>
      </c>
    </row>
    <row r="37" spans="2:3" ht="12.75">
      <c r="B37" s="238" t="s">
        <v>261</v>
      </c>
      <c r="C37" s="250">
        <v>812</v>
      </c>
    </row>
    <row r="38" ht="12.75">
      <c r="B38" s="250"/>
    </row>
    <row r="39" spans="1:5" ht="12.75">
      <c r="A39" s="520"/>
      <c r="B39" s="521"/>
      <c r="C39" s="520"/>
      <c r="D39" s="520"/>
      <c r="E39" s="520"/>
    </row>
    <row r="40" spans="1:9" ht="12.75">
      <c r="A40" s="263"/>
      <c r="B40" s="249"/>
      <c r="C40" s="265"/>
      <c r="D40" s="249"/>
      <c r="I40" s="240"/>
    </row>
    <row r="41" spans="1:9" ht="12" customHeight="1">
      <c r="A41" s="263"/>
      <c r="B41" s="249"/>
      <c r="C41" s="265"/>
      <c r="D41" s="249"/>
      <c r="I41" s="240"/>
    </row>
    <row r="42" spans="1:9" ht="12.75">
      <c r="A42" s="263"/>
      <c r="B42" s="249"/>
      <c r="C42" s="265"/>
      <c r="D42" s="249"/>
      <c r="I42" s="240"/>
    </row>
    <row r="43" spans="1:9" ht="12.75">
      <c r="A43" s="263"/>
      <c r="B43" s="249" t="s">
        <v>546</v>
      </c>
      <c r="C43" s="265">
        <f>'Dateneingabe und Ergebnisse'!I23</f>
        <v>21.914824343035285</v>
      </c>
      <c r="D43" s="249"/>
      <c r="I43" s="240"/>
    </row>
    <row r="44" spans="1:9" ht="12.75">
      <c r="A44" s="263"/>
      <c r="B44" s="249" t="s">
        <v>547</v>
      </c>
      <c r="C44" s="265">
        <f>'Dateneingabe und Ergebnisse'!L23</f>
        <v>43.16556309991798</v>
      </c>
      <c r="D44" s="249"/>
      <c r="I44" s="240"/>
    </row>
    <row r="45" spans="1:9" ht="12.75">
      <c r="A45" s="249" t="s">
        <v>320</v>
      </c>
      <c r="B45" s="249" t="s">
        <v>276</v>
      </c>
      <c r="C45" s="265">
        <f>IF('Dateneingabe und Ergebnisse'!F24=0,0,284.04*(F2/'Dateneingabe und Ergebnisse'!F23*C43)^(-0.2409)*C43/'Dateneingabe und Ergebnisse'!F23*'IK Becken Variante 2&amp;3 '!F2)</f>
        <v>11556.897625502565</v>
      </c>
      <c r="D45" s="249" t="s">
        <v>237</v>
      </c>
      <c r="I45" s="240"/>
    </row>
    <row r="46" spans="1:9" ht="12.75">
      <c r="A46" s="249" t="s">
        <v>321</v>
      </c>
      <c r="B46" s="249" t="s">
        <v>276</v>
      </c>
      <c r="C46" s="265">
        <f>IF('Dateneingabe und Ergebnisse'!L24=0,0,284.04*(E2/'Dateneingabe und Ergebnisse'!F23*C44)^(-0.2409)*C44/'Dateneingabe und Ergebnisse'!F23*'IK Becken Variante 2&amp;3 '!E2)</f>
        <v>19333.917605550436</v>
      </c>
      <c r="D46" s="249" t="s">
        <v>237</v>
      </c>
      <c r="I46" s="240"/>
    </row>
    <row r="47" ht="9.75" customHeight="1">
      <c r="B47" s="250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="85" zoomScaleNormal="70" zoomScaleSheetLayoutView="85" zoomScalePageLayoutView="0" workbookViewId="0" topLeftCell="D1">
      <selection activeCell="Q13" sqref="Q13"/>
    </sheetView>
  </sheetViews>
  <sheetFormatPr defaultColWidth="11.421875" defaultRowHeight="12.75"/>
  <cols>
    <col min="1" max="1" width="36.140625" style="0" customWidth="1"/>
    <col min="2" max="2" width="22.57421875" style="0" customWidth="1"/>
    <col min="3" max="3" width="35.8515625" style="0" customWidth="1"/>
    <col min="4" max="4" width="23.421875" style="0" customWidth="1"/>
    <col min="5" max="5" width="35.8515625" style="0" customWidth="1"/>
    <col min="6" max="6" width="24.140625" style="0" customWidth="1"/>
    <col min="7" max="7" width="18.421875" style="0" hidden="1" customWidth="1"/>
    <col min="8" max="8" width="10.28125" style="0" hidden="1" customWidth="1"/>
    <col min="9" max="9" width="0" style="0" hidden="1" customWidth="1"/>
    <col min="11" max="11" width="13.00390625" style="0" customWidth="1"/>
  </cols>
  <sheetData>
    <row r="1" spans="1:7" ht="25.5">
      <c r="A1" s="168" t="s">
        <v>126</v>
      </c>
      <c r="B1" s="169"/>
      <c r="C1" s="169"/>
      <c r="D1" s="169"/>
      <c r="E1" s="169"/>
      <c r="F1" s="169"/>
      <c r="G1" s="100"/>
    </row>
    <row r="2" spans="1:6" ht="12.75">
      <c r="A2" s="48"/>
      <c r="B2" s="48"/>
      <c r="C2" s="48"/>
      <c r="D2" s="48"/>
      <c r="E2" s="48"/>
      <c r="F2" s="48"/>
    </row>
    <row r="3" spans="1:6" ht="12.75">
      <c r="A3" s="48" t="s">
        <v>113</v>
      </c>
      <c r="B3" s="131">
        <v>50</v>
      </c>
      <c r="C3" s="48"/>
      <c r="D3" s="48" t="s">
        <v>212</v>
      </c>
      <c r="E3" s="170">
        <f>'Variante A'!B3</f>
        <v>3100</v>
      </c>
      <c r="F3" s="48"/>
    </row>
    <row r="4" spans="1:6" ht="12.75">
      <c r="A4" s="48" t="s">
        <v>114</v>
      </c>
      <c r="B4" s="131">
        <f>'Dateneingabe und Ergebnisse'!F53</f>
        <v>3</v>
      </c>
      <c r="C4" s="48"/>
      <c r="D4" s="48" t="s">
        <v>211</v>
      </c>
      <c r="E4" s="170">
        <f>'Variante A'!B5</f>
        <v>25</v>
      </c>
      <c r="F4" s="48"/>
    </row>
    <row r="5" spans="1:6" ht="12.75">
      <c r="A5" s="48" t="s">
        <v>115</v>
      </c>
      <c r="B5" s="131">
        <v>0</v>
      </c>
      <c r="C5" s="48"/>
      <c r="D5" s="48"/>
      <c r="E5" s="48"/>
      <c r="F5" s="48"/>
    </row>
    <row r="6" spans="1:6" ht="12.75">
      <c r="A6" s="48" t="s">
        <v>116</v>
      </c>
      <c r="B6" s="131">
        <v>0</v>
      </c>
      <c r="C6" s="48"/>
      <c r="D6" s="48"/>
      <c r="E6" s="48"/>
      <c r="F6" s="48"/>
    </row>
    <row r="7" spans="1:6" ht="12.75">
      <c r="A7" s="48" t="s">
        <v>117</v>
      </c>
      <c r="B7" s="131">
        <f>B4/100+1</f>
        <v>1.03</v>
      </c>
      <c r="C7" s="48"/>
      <c r="D7" s="48"/>
      <c r="E7" s="48"/>
      <c r="F7" s="48"/>
    </row>
    <row r="8" spans="1:6" ht="12.75">
      <c r="A8" s="48" t="s">
        <v>263</v>
      </c>
      <c r="B8" s="171">
        <v>13</v>
      </c>
      <c r="C8" s="48"/>
      <c r="D8" s="48"/>
      <c r="E8" s="48"/>
      <c r="F8" s="48"/>
    </row>
    <row r="9" spans="1:6" ht="12.75">
      <c r="A9" s="48" t="s">
        <v>264</v>
      </c>
      <c r="B9" s="171">
        <v>26</v>
      </c>
      <c r="C9" s="48"/>
      <c r="D9" s="48"/>
      <c r="E9" s="48"/>
      <c r="F9" s="48"/>
    </row>
    <row r="10" spans="1:6" ht="12.75">
      <c r="A10" s="48" t="s">
        <v>265</v>
      </c>
      <c r="B10" s="172">
        <v>50</v>
      </c>
      <c r="C10" s="48"/>
      <c r="D10" s="48"/>
      <c r="E10" s="48"/>
      <c r="F10" s="48"/>
    </row>
    <row r="11" spans="1:6" ht="15.75">
      <c r="A11" s="176" t="s">
        <v>155</v>
      </c>
      <c r="B11" s="178"/>
      <c r="C11" s="176" t="s">
        <v>167</v>
      </c>
      <c r="D11" s="179"/>
      <c r="E11" s="177" t="s">
        <v>163</v>
      </c>
      <c r="F11" s="179"/>
    </row>
    <row r="12" spans="1:6" ht="18">
      <c r="A12" s="173"/>
      <c r="B12" s="161"/>
      <c r="C12" s="175"/>
      <c r="D12" s="174"/>
      <c r="E12" s="161"/>
      <c r="F12" s="174"/>
    </row>
    <row r="13" spans="1:7" ht="15.75">
      <c r="A13" s="176" t="s">
        <v>118</v>
      </c>
      <c r="B13" s="199">
        <f>B14+B18+B22</f>
        <v>1021000</v>
      </c>
      <c r="C13" s="176" t="s">
        <v>118</v>
      </c>
      <c r="D13" s="200">
        <f>D14+D18+D22</f>
        <v>767000</v>
      </c>
      <c r="E13" s="177" t="s">
        <v>118</v>
      </c>
      <c r="F13" s="191">
        <f>F14+F18+F22</f>
        <v>830000</v>
      </c>
      <c r="G13" s="101"/>
    </row>
    <row r="14" spans="1:7" ht="12.75">
      <c r="A14" s="180" t="s">
        <v>266</v>
      </c>
      <c r="B14" s="189">
        <f>B17+B16+B15</f>
        <v>170000</v>
      </c>
      <c r="C14" s="190" t="s">
        <v>266</v>
      </c>
      <c r="D14" s="167">
        <f>D17+D16+D15</f>
        <v>225000</v>
      </c>
      <c r="E14" s="190" t="s">
        <v>266</v>
      </c>
      <c r="F14" s="191">
        <f>F17+F16+F15</f>
        <v>140000</v>
      </c>
      <c r="G14" s="101"/>
    </row>
    <row r="15" spans="1:7" ht="12.75">
      <c r="A15" s="187" t="s">
        <v>277</v>
      </c>
      <c r="B15" s="184">
        <f>'Dateneingabe und Ergebnisse'!F47+'Dateneingabe und Ergebnisse'!F51</f>
        <v>170000</v>
      </c>
      <c r="C15" s="187" t="s">
        <v>277</v>
      </c>
      <c r="D15" s="183">
        <f>'Dateneingabe und Ergebnisse'!I61</f>
        <v>225000</v>
      </c>
      <c r="E15" s="187" t="s">
        <v>277</v>
      </c>
      <c r="F15" s="195">
        <f>'Dateneingabe und Ergebnisse'!L61</f>
        <v>140000</v>
      </c>
      <c r="G15" s="101"/>
    </row>
    <row r="16" spans="1:7" ht="12.75">
      <c r="A16" s="187" t="s">
        <v>278</v>
      </c>
      <c r="B16" s="184">
        <v>0</v>
      </c>
      <c r="C16" s="194" t="s">
        <v>278</v>
      </c>
      <c r="D16" s="167"/>
      <c r="E16" s="196" t="s">
        <v>278</v>
      </c>
      <c r="F16" s="195">
        <v>0</v>
      </c>
      <c r="G16" s="101"/>
    </row>
    <row r="17" spans="1:7" ht="12.75">
      <c r="A17" s="187" t="s">
        <v>278</v>
      </c>
      <c r="B17" s="184">
        <v>0</v>
      </c>
      <c r="C17" s="182"/>
      <c r="D17" s="181"/>
      <c r="E17" s="196" t="s">
        <v>278</v>
      </c>
      <c r="F17" s="183">
        <v>0</v>
      </c>
      <c r="G17" s="101"/>
    </row>
    <row r="18" spans="1:7" ht="12.75">
      <c r="A18" s="180" t="s">
        <v>267</v>
      </c>
      <c r="B18" s="189">
        <f>B20+B21+B19</f>
        <v>851000</v>
      </c>
      <c r="C18" s="190" t="s">
        <v>267</v>
      </c>
      <c r="D18" s="167">
        <f>D20+D21+D19</f>
        <v>542000</v>
      </c>
      <c r="E18" s="190" t="s">
        <v>267</v>
      </c>
      <c r="F18" s="167">
        <f>F20+F21+F19</f>
        <v>690000</v>
      </c>
      <c r="G18" s="101"/>
    </row>
    <row r="19" spans="1:7" ht="12.75">
      <c r="A19" s="187" t="s">
        <v>277</v>
      </c>
      <c r="B19" s="184">
        <f>'Dateneingabe und Ergebnisse'!F52</f>
        <v>0</v>
      </c>
      <c r="C19" s="194" t="s">
        <v>277</v>
      </c>
      <c r="D19" s="183">
        <f>'Dateneingabe und Ergebnisse'!I52</f>
        <v>0</v>
      </c>
      <c r="E19" s="187" t="s">
        <v>277</v>
      </c>
      <c r="F19" s="183">
        <f>'Dateneingabe und Ergebnisse'!L52</f>
        <v>0</v>
      </c>
      <c r="G19" s="101"/>
    </row>
    <row r="20" spans="1:7" ht="12.75">
      <c r="A20" s="175" t="s">
        <v>242</v>
      </c>
      <c r="B20" s="184">
        <f>'Dateneingabe und Ergebnisse'!F46-B15</f>
        <v>780000</v>
      </c>
      <c r="C20" s="182" t="s">
        <v>242</v>
      </c>
      <c r="D20" s="183">
        <f>'Dateneingabe und Ergebnisse'!I46-'Dateneingabe und Ergebnisse'!I47</f>
        <v>530000</v>
      </c>
      <c r="E20" s="182" t="s">
        <v>242</v>
      </c>
      <c r="F20" s="183">
        <f>'Dateneingabe und Ergebnisse'!L46</f>
        <v>670000</v>
      </c>
      <c r="G20" s="101"/>
    </row>
    <row r="21" spans="1:7" ht="12.75">
      <c r="A21" s="175" t="s">
        <v>250</v>
      </c>
      <c r="B21" s="184">
        <f>'Dateneingabe und Ergebnisse'!F49</f>
        <v>71000</v>
      </c>
      <c r="C21" s="182" t="s">
        <v>250</v>
      </c>
      <c r="D21" s="183">
        <f>'Dateneingabe und Ergebnisse'!I49</f>
        <v>12000</v>
      </c>
      <c r="E21" s="182" t="s">
        <v>250</v>
      </c>
      <c r="F21" s="183">
        <f>'Dateneingabe und Ergebnisse'!L49</f>
        <v>20000</v>
      </c>
      <c r="G21" s="101"/>
    </row>
    <row r="22" spans="1:7" ht="12.75">
      <c r="A22" s="180" t="s">
        <v>268</v>
      </c>
      <c r="B22" s="189">
        <f>B24+B25+B23</f>
        <v>0</v>
      </c>
      <c r="C22" s="190" t="s">
        <v>268</v>
      </c>
      <c r="D22" s="167">
        <f>D24+D25+D23</f>
        <v>0</v>
      </c>
      <c r="E22" s="190" t="s">
        <v>268</v>
      </c>
      <c r="F22" s="167">
        <f>F24+F25+F23</f>
        <v>0</v>
      </c>
      <c r="G22" s="101"/>
    </row>
    <row r="23" spans="1:7" ht="12.75">
      <c r="A23" s="187" t="s">
        <v>277</v>
      </c>
      <c r="B23" s="184"/>
      <c r="C23" s="194" t="s">
        <v>277</v>
      </c>
      <c r="D23" s="183"/>
      <c r="E23" s="187" t="s">
        <v>277</v>
      </c>
      <c r="F23" s="183"/>
      <c r="G23" s="101"/>
    </row>
    <row r="24" spans="1:7" ht="12.75">
      <c r="A24" s="187" t="s">
        <v>278</v>
      </c>
      <c r="B24" s="184">
        <v>0</v>
      </c>
      <c r="C24" s="182" t="s">
        <v>278</v>
      </c>
      <c r="D24" s="183">
        <v>0</v>
      </c>
      <c r="E24" s="196" t="s">
        <v>278</v>
      </c>
      <c r="F24" s="183">
        <v>0</v>
      </c>
      <c r="G24" s="101"/>
    </row>
    <row r="25" spans="1:7" ht="12.75">
      <c r="A25" s="187"/>
      <c r="B25" s="184"/>
      <c r="C25" s="182"/>
      <c r="D25" s="183"/>
      <c r="E25" s="196"/>
      <c r="F25" s="183"/>
      <c r="G25" s="101"/>
    </row>
    <row r="26" spans="1:7" ht="15.75">
      <c r="A26" s="176"/>
      <c r="B26" s="184"/>
      <c r="C26" s="182"/>
      <c r="D26" s="183"/>
      <c r="E26" s="193"/>
      <c r="F26" s="192"/>
      <c r="G26" s="101"/>
    </row>
    <row r="27" spans="1:7" ht="12.75">
      <c r="A27" s="175" t="s">
        <v>119</v>
      </c>
      <c r="B27" s="183">
        <f>(B14+B18+B22)*(1-($B$5+$B$6)/100)</f>
        <v>1021000</v>
      </c>
      <c r="C27" s="175" t="s">
        <v>119</v>
      </c>
      <c r="D27" s="183">
        <f>(D14+D18+D22)*(1-($B$5+$B$6)/100)</f>
        <v>767000</v>
      </c>
      <c r="E27" s="175" t="s">
        <v>119</v>
      </c>
      <c r="F27" s="183">
        <f>(F17+F20+F21+F22)*(1-($B$5+$B$6)/100)</f>
        <v>690000</v>
      </c>
      <c r="G27" s="103"/>
    </row>
    <row r="28" spans="1:7" ht="15.75">
      <c r="A28" s="176" t="s">
        <v>120</v>
      </c>
      <c r="B28" s="189">
        <f>B29+B30+B31+B32</f>
        <v>41709.789672727275</v>
      </c>
      <c r="C28" s="176" t="s">
        <v>120</v>
      </c>
      <c r="D28" s="167">
        <f>D29+D30+D31+D32</f>
        <v>43859.05003564382</v>
      </c>
      <c r="E28" s="177" t="s">
        <v>120</v>
      </c>
      <c r="F28" s="201">
        <f>F29+F30+F31+F32</f>
        <v>55191.720864408</v>
      </c>
      <c r="G28" s="104"/>
    </row>
    <row r="29" spans="1:7" ht="12.75">
      <c r="A29" s="175" t="s">
        <v>121</v>
      </c>
      <c r="B29" s="166">
        <f>Stromkosten!B27</f>
        <v>10138.240000000002</v>
      </c>
      <c r="C29" s="182" t="s">
        <v>121</v>
      </c>
      <c r="D29" s="181">
        <f>Stromkosten!F27</f>
        <v>9621.78</v>
      </c>
      <c r="E29" s="184" t="s">
        <v>121</v>
      </c>
      <c r="F29" s="181">
        <f>Stromkosten!K27</f>
        <v>9205.14</v>
      </c>
      <c r="G29" s="103"/>
    </row>
    <row r="30" spans="1:7" ht="12.75">
      <c r="A30" s="182" t="s">
        <v>159</v>
      </c>
      <c r="B30" s="166">
        <f>'Dateneingabe und Ergebnisse'!F27*'Dateneingabe und Ergebnisse'!F25</f>
        <v>31571.549672727277</v>
      </c>
      <c r="C30" s="182" t="s">
        <v>159</v>
      </c>
      <c r="D30" s="181">
        <f>'Dateneingabe und Ergebnisse'!I27*'Dateneingabe und Ergebnisse'!I25</f>
        <v>38264.43694564382</v>
      </c>
      <c r="E30" s="184" t="s">
        <v>159</v>
      </c>
      <c r="F30" s="181">
        <f>'Dateneingabe und Ergebnisse'!L27*'Dateneingabe und Ergebnisse'!L25</f>
        <v>50013.747774408</v>
      </c>
      <c r="G30" s="103"/>
    </row>
    <row r="31" spans="1:7" ht="12.75">
      <c r="A31" s="175"/>
      <c r="B31" s="166"/>
      <c r="C31" s="182" t="s">
        <v>160</v>
      </c>
      <c r="D31" s="181">
        <f>'ele. und th. Erlös'!F14</f>
        <v>-4027.16691</v>
      </c>
      <c r="E31" s="184" t="s">
        <v>160</v>
      </c>
      <c r="F31" s="181">
        <f>'ele. und th. Erlös'!J14</f>
        <v>-4027.16691</v>
      </c>
      <c r="G31" s="103"/>
    </row>
    <row r="32" spans="1:6" ht="12.75">
      <c r="A32" s="175"/>
      <c r="B32" s="185"/>
      <c r="C32" s="175"/>
      <c r="D32" s="183"/>
      <c r="E32" s="198"/>
      <c r="F32" s="183"/>
    </row>
    <row r="33" spans="1:13" ht="25.5" customHeight="1">
      <c r="A33" t="s">
        <v>122</v>
      </c>
      <c r="B33" s="188" t="s">
        <v>319</v>
      </c>
      <c r="C33" s="2"/>
      <c r="D33" s="188" t="s">
        <v>320</v>
      </c>
      <c r="E33" s="2"/>
      <c r="F33" s="188" t="s">
        <v>321</v>
      </c>
      <c r="K33" t="s">
        <v>123</v>
      </c>
      <c r="L33" t="s">
        <v>124</v>
      </c>
      <c r="M33" t="s">
        <v>125</v>
      </c>
    </row>
    <row r="34" spans="1:12" ht="12.75">
      <c r="A34">
        <v>1</v>
      </c>
      <c r="B34" s="102">
        <f>$B$27+SUM($B$29:$B$32)*$K34+IF($A34&gt;=$B$8,$B$14*$M$45,0)+IF($A34&gt;=($B$8*2),$B$14*$L$58,0)+IF($A34&gt;=(38),$B$14*$M$70,0)+IF($A34&gt;=(51),$B$14*$L$83,0)+IF($A34&gt;=($B$9),$B$18*$L$58,0)+IF($A34&gt;=($B$9*2),$B$18*$L$83)+IF($A34&gt;=($B$10),$B$22*$L$83)</f>
        <v>1061494.9414298323</v>
      </c>
      <c r="C34" s="122"/>
      <c r="D34" s="102">
        <f>$D$27+SUM($D$29:$D$32)*$K34+IF($A34&gt;=$B$8,$D$14*$M$45,0)+IF($A34&gt;=($B$8*2),$D$14*$L$58,0)+IF($A34&gt;=(38),$D$14*$M$70,0)+IF($A34&gt;=(51),$D$14*$L$83,0)+IF($A34&gt;=($B$9),$D$18*$L$58,0)+IF($A34&gt;=($B$9*2),$D$18*$L$83)+IF($A34&gt;=($B$10),$D$22*$L$83)</f>
        <v>809581.6019763532</v>
      </c>
      <c r="E34" s="102"/>
      <c r="F34" s="102">
        <f>$F$27+SUM($F$29:$F$32)*$K34+IF($A34&gt;=$B$8,$F$14*$M$45,0)+IF($A34&gt;=($B$8*2),$F$14*$L$58,0)+IF($A34&gt;=(38),$F$14*$M$70,0)+IF($A34&gt;=(51),$F$14*$L$83,0)+IF($A34&gt;=($B$9),$F$18*$L$58,0)+IF($A34&gt;=($B$9*2),$F$18*$L$83)+IF($A34&gt;=($B$10),$F$22*$L$83)</f>
        <v>743584.1950139883</v>
      </c>
      <c r="G34" s="122"/>
      <c r="K34" s="105">
        <f aca="true" t="shared" si="0" ref="K34:K65">($B$7^A34-1)/(($B$7-1)*$B$7^A34)</f>
        <v>0.970873786407767</v>
      </c>
      <c r="L34" s="105">
        <f aca="true" t="shared" si="1" ref="L34:L65">1/$B$7^A34</f>
        <v>0.970873786407767</v>
      </c>
    </row>
    <row r="35" spans="1:12" ht="12.75">
      <c r="A35">
        <v>2</v>
      </c>
      <c r="B35" s="102">
        <f aca="true" t="shared" si="2" ref="B35:B83">$B$27+SUM($B$29:$B$32)*$K35+IF($A35&gt;=$B$8,$B$14*$M$45,0)+IF($A35&gt;=($B$8*2),$B$14*$L$58,0)+IF($A35&gt;=(38),$B$14*$M$70,0)+IF($A35&gt;=(51),$B$14*$L$83,0)+IF($A35&gt;=($B$9),$B$18*$L$58,0)+IF($A35&gt;=($B$9*2),$B$18*$L$83)+IF($A35&gt;=($B$10),$B$22*$L$83)</f>
        <v>1100810.4185461742</v>
      </c>
      <c r="C35" s="122"/>
      <c r="D35" s="102">
        <f>$D$27+SUM($D$29:$D$32)*$K35+IF($A35&gt;=$B$8,$D$14*$M$45,0)+IF($A35&gt;=($B$8*2),$D$14*$L$58,0)+IF($A35&gt;=(38),$D$14*$M$70,0)+IF($A35&gt;=(51),$D$14*$L$83,0)+IF($A35&gt;=($B$9),$D$18*$L$58,0)+IF($A35&gt;=($B$9*2),$D$18*$L$83)+IF($A35&gt;=($B$10),$D$22*$L$83)</f>
        <v>850922.9631184436</v>
      </c>
      <c r="E35" s="102"/>
      <c r="F35" s="102">
        <f aca="true" t="shared" si="3" ref="F35:F83">$F$27+SUM($F$29:$F$32)*$K35+IF($A35&gt;=$B$8,$F$14*$M$45,0)+IF($A35&gt;=($B$8*2),$F$14*$L$58,0)+IF($A35&gt;=(38),$F$14*$M$70,0)+IF($A35&gt;=(51),$F$14*$L$83,0)+IF($A35&gt;=($B$9),$F$18*$L$58,0)+IF($A35&gt;=($B$9*2),$F$18*$L$83)+IF($A35&gt;=($B$10),$F$22*$L$83)</f>
        <v>795607.6853188312</v>
      </c>
      <c r="G35" s="122"/>
      <c r="K35" s="105">
        <f t="shared" si="0"/>
        <v>1.9134696955415182</v>
      </c>
      <c r="L35" s="105">
        <f t="shared" si="1"/>
        <v>0.9425959091337544</v>
      </c>
    </row>
    <row r="36" spans="1:12" ht="12.75">
      <c r="A36">
        <v>3</v>
      </c>
      <c r="B36" s="102">
        <f t="shared" si="2"/>
        <v>1138980.784678545</v>
      </c>
      <c r="C36" s="122"/>
      <c r="D36" s="102">
        <f aca="true" t="shared" si="4" ref="D36:D83">$D$27+SUM($D$29:$D$32)*$K36+IF($A36&gt;=$B$8,$D$14*$M$45,0)+IF($A36&gt;=($B$8*2),$D$14*$L$58,0)+IF($A36&gt;=(38),$D$14*$M$70,0)+IF($A36&gt;=(51),$D$14*$L$83,0)+IF($A36&gt;=($B$9),$D$18*$L$58,0)+IF($A36&gt;=($B$9*2),$D$18*$L$83)+IF($A36&gt;=($B$10),$D$22*$L$83)</f>
        <v>891060.2069457159</v>
      </c>
      <c r="E36" s="102"/>
      <c r="F36" s="102">
        <f t="shared" si="3"/>
        <v>846115.928333242</v>
      </c>
      <c r="G36" s="122"/>
      <c r="K36" s="105">
        <f t="shared" si="0"/>
        <v>2.8286113548946785</v>
      </c>
      <c r="L36" s="105">
        <f t="shared" si="1"/>
        <v>0.9151416593531596</v>
      </c>
    </row>
    <row r="37" spans="1:12" ht="12.75">
      <c r="A37">
        <v>4</v>
      </c>
      <c r="B37" s="102">
        <f t="shared" si="2"/>
        <v>1176039.3925740507</v>
      </c>
      <c r="C37" s="122"/>
      <c r="D37" s="102">
        <f t="shared" si="4"/>
        <v>930028.4048362714</v>
      </c>
      <c r="E37" s="102"/>
      <c r="F37" s="102">
        <f t="shared" si="3"/>
        <v>895153.0574734465</v>
      </c>
      <c r="G37" s="122"/>
      <c r="K37" s="105">
        <f t="shared" si="0"/>
        <v>3.717098402810364</v>
      </c>
      <c r="L37" s="105">
        <f t="shared" si="1"/>
        <v>0.888487047915689</v>
      </c>
    </row>
    <row r="38" spans="1:12" ht="12.75">
      <c r="A38">
        <v>5</v>
      </c>
      <c r="B38" s="102">
        <f t="shared" si="2"/>
        <v>1212018.6235405612</v>
      </c>
      <c r="C38" s="122"/>
      <c r="D38" s="102">
        <f t="shared" si="4"/>
        <v>967861.6066717624</v>
      </c>
      <c r="E38" s="102"/>
      <c r="F38" s="102">
        <f t="shared" si="3"/>
        <v>942761.9207163635</v>
      </c>
      <c r="G38" s="122"/>
      <c r="K38" s="105">
        <f t="shared" si="0"/>
        <v>4.5797071871945265</v>
      </c>
      <c r="L38" s="105">
        <f t="shared" si="1"/>
        <v>0.8626087843841641</v>
      </c>
    </row>
    <row r="39" spans="1:12" ht="12.75">
      <c r="A39">
        <v>6</v>
      </c>
      <c r="B39" s="102">
        <f t="shared" si="2"/>
        <v>1246949.9157410567</v>
      </c>
      <c r="C39" s="122"/>
      <c r="D39" s="102">
        <f t="shared" si="4"/>
        <v>1004592.8705897147</v>
      </c>
      <c r="E39" s="102"/>
      <c r="F39" s="102">
        <f t="shared" si="3"/>
        <v>988984.1180395839</v>
      </c>
      <c r="G39" s="122"/>
      <c r="K39" s="105">
        <f t="shared" si="0"/>
        <v>5.417191443878181</v>
      </c>
      <c r="L39" s="105">
        <f t="shared" si="1"/>
        <v>0.8374842566836544</v>
      </c>
    </row>
    <row r="40" spans="1:12" ht="12.75">
      <c r="A40">
        <v>7</v>
      </c>
      <c r="B40" s="102">
        <f t="shared" si="2"/>
        <v>1280863.791663868</v>
      </c>
      <c r="C40" s="122"/>
      <c r="D40" s="102">
        <f t="shared" si="4"/>
        <v>1040254.2918692802</v>
      </c>
      <c r="E40" s="102"/>
      <c r="F40" s="102">
        <f t="shared" si="3"/>
        <v>1033860.037770866</v>
      </c>
      <c r="G40" s="122"/>
      <c r="K40" s="105">
        <f t="shared" si="0"/>
        <v>6.230282955221536</v>
      </c>
      <c r="L40" s="105">
        <f t="shared" si="1"/>
        <v>0.8130915113433538</v>
      </c>
    </row>
    <row r="41" spans="1:12" ht="12.75">
      <c r="A41">
        <v>8</v>
      </c>
      <c r="B41" s="102">
        <f t="shared" si="2"/>
        <v>1313789.8847928108</v>
      </c>
      <c r="C41" s="122"/>
      <c r="D41" s="102">
        <f t="shared" si="4"/>
        <v>1074877.0309756543</v>
      </c>
      <c r="E41" s="102"/>
      <c r="F41" s="102">
        <f t="shared" si="3"/>
        <v>1077428.8918789066</v>
      </c>
      <c r="G41" s="122"/>
      <c r="K41" s="105">
        <f t="shared" si="0"/>
        <v>7.019692189535468</v>
      </c>
      <c r="L41" s="105">
        <f t="shared" si="1"/>
        <v>0.7894092343139357</v>
      </c>
    </row>
    <row r="42" spans="1:12" ht="12.75">
      <c r="A42">
        <v>9</v>
      </c>
      <c r="B42" s="102">
        <f t="shared" si="2"/>
        <v>1345756.9655005224</v>
      </c>
      <c r="C42" s="122"/>
      <c r="D42" s="102">
        <f t="shared" si="4"/>
        <v>1108491.340787668</v>
      </c>
      <c r="E42" s="102"/>
      <c r="F42" s="102">
        <f t="shared" si="3"/>
        <v>1119728.7502362276</v>
      </c>
      <c r="G42" s="122"/>
      <c r="K42" s="105">
        <f t="shared" si="0"/>
        <v>7.786108921879095</v>
      </c>
      <c r="L42" s="105">
        <f t="shared" si="1"/>
        <v>0.766416732343627</v>
      </c>
    </row>
    <row r="43" spans="1:12" ht="12.75">
      <c r="A43">
        <v>10</v>
      </c>
      <c r="B43" s="102">
        <f t="shared" si="2"/>
        <v>1376792.966187621</v>
      </c>
      <c r="C43" s="122"/>
      <c r="D43" s="102">
        <f t="shared" si="4"/>
        <v>1141126.5930323415</v>
      </c>
      <c r="E43" s="102"/>
      <c r="F43" s="102">
        <f t="shared" si="3"/>
        <v>1160796.5738841123</v>
      </c>
      <c r="G43" s="122"/>
      <c r="K43" s="105">
        <f t="shared" si="0"/>
        <v>8.53020283677582</v>
      </c>
      <c r="L43" s="105">
        <f t="shared" si="1"/>
        <v>0.7440939148967252</v>
      </c>
    </row>
    <row r="44" spans="1:12" ht="12.75">
      <c r="A44">
        <v>11</v>
      </c>
      <c r="B44" s="102">
        <f t="shared" si="2"/>
        <v>1406925.0056896585</v>
      </c>
      <c r="C44" s="122"/>
      <c r="D44" s="102">
        <f t="shared" si="4"/>
        <v>1172811.3039495004</v>
      </c>
      <c r="E44" s="102"/>
      <c r="F44" s="102">
        <f t="shared" si="3"/>
        <v>1200668.2473286605</v>
      </c>
      <c r="G44" s="122"/>
      <c r="K44" s="105">
        <f t="shared" si="0"/>
        <v>9.252624113374582</v>
      </c>
      <c r="L44" s="105">
        <f t="shared" si="1"/>
        <v>0.7224212765987623</v>
      </c>
    </row>
    <row r="45" spans="1:13" ht="12.75">
      <c r="A45">
        <v>12</v>
      </c>
      <c r="B45" s="102">
        <f t="shared" si="2"/>
        <v>1436179.41297319</v>
      </c>
      <c r="C45" s="122"/>
      <c r="D45" s="102">
        <f t="shared" si="4"/>
        <v>1203573.1592088777</v>
      </c>
      <c r="E45" s="102"/>
      <c r="F45" s="102">
        <f t="shared" si="3"/>
        <v>1239378.6098961828</v>
      </c>
      <c r="G45" s="122"/>
      <c r="K45" s="105">
        <f t="shared" si="0"/>
        <v>9.954003993567552</v>
      </c>
      <c r="L45" s="105">
        <f t="shared" si="1"/>
        <v>0.7013798801929733</v>
      </c>
      <c r="M45">
        <f>(L45+L46)/2</f>
        <v>0.6911656100930756</v>
      </c>
    </row>
    <row r="46" spans="1:12" ht="12.75">
      <c r="A46">
        <v>13</v>
      </c>
      <c r="B46" s="102">
        <f t="shared" si="2"/>
        <v>1582079.90385749</v>
      </c>
      <c r="C46" s="122"/>
      <c r="D46" s="102">
        <f t="shared" si="4"/>
        <v>1388951.3003724192</v>
      </c>
      <c r="E46" s="102"/>
      <c r="F46" s="102">
        <f t="shared" si="3"/>
        <v>1373724.6715883615</v>
      </c>
      <c r="G46" s="122"/>
      <c r="K46" s="105">
        <f t="shared" si="0"/>
        <v>10.634955333560727</v>
      </c>
      <c r="L46" s="105">
        <f t="shared" si="1"/>
        <v>0.6809513399931779</v>
      </c>
    </row>
    <row r="47" spans="1:12" ht="12.75">
      <c r="A47">
        <v>14</v>
      </c>
      <c r="B47" s="102">
        <f t="shared" si="2"/>
        <v>1609654.9884870795</v>
      </c>
      <c r="C47" s="122"/>
      <c r="D47" s="102">
        <f t="shared" si="4"/>
        <v>1417947.2992972732</v>
      </c>
      <c r="E47" s="102"/>
      <c r="F47" s="102">
        <f t="shared" si="3"/>
        <v>1410212.9009855927</v>
      </c>
      <c r="G47" s="122"/>
      <c r="K47" s="105">
        <f t="shared" si="0"/>
        <v>11.296073139379349</v>
      </c>
      <c r="L47" s="105">
        <f t="shared" si="1"/>
        <v>0.6611178058186192</v>
      </c>
    </row>
    <row r="48" spans="1:12" ht="12.75">
      <c r="A48">
        <v>15</v>
      </c>
      <c r="B48" s="102">
        <f t="shared" si="2"/>
        <v>1636426.9153119237</v>
      </c>
      <c r="C48" s="122"/>
      <c r="D48" s="102">
        <f t="shared" si="4"/>
        <v>1446098.7545641216</v>
      </c>
      <c r="E48" s="102"/>
      <c r="F48" s="102">
        <f t="shared" si="3"/>
        <v>1445638.3664197975</v>
      </c>
      <c r="G48" s="122"/>
      <c r="K48" s="105">
        <f t="shared" si="0"/>
        <v>11.937935086776067</v>
      </c>
      <c r="L48" s="105">
        <f t="shared" si="1"/>
        <v>0.6418619473967176</v>
      </c>
    </row>
    <row r="49" spans="1:12" ht="12.75">
      <c r="A49">
        <v>16</v>
      </c>
      <c r="B49" s="102">
        <f t="shared" si="2"/>
        <v>1662419.0772777917</v>
      </c>
      <c r="C49" s="122"/>
      <c r="D49" s="102">
        <f t="shared" si="4"/>
        <v>1473430.2645319353</v>
      </c>
      <c r="E49" s="102"/>
      <c r="F49" s="102">
        <f t="shared" si="3"/>
        <v>1480032.0221811614</v>
      </c>
      <c r="G49" s="122"/>
      <c r="K49" s="105">
        <f t="shared" si="0"/>
        <v>12.561102025996176</v>
      </c>
      <c r="L49" s="105">
        <f t="shared" si="1"/>
        <v>0.6231669392201143</v>
      </c>
    </row>
    <row r="50" spans="1:12" ht="12.75">
      <c r="A50">
        <v>17</v>
      </c>
      <c r="B50" s="102">
        <f t="shared" si="2"/>
        <v>1687654.1859825184</v>
      </c>
      <c r="C50" s="122"/>
      <c r="D50" s="102">
        <f t="shared" si="4"/>
        <v>1499965.7111026286</v>
      </c>
      <c r="E50" s="102"/>
      <c r="F50" s="102">
        <f t="shared" si="3"/>
        <v>1513423.9209786023</v>
      </c>
      <c r="G50" s="122"/>
      <c r="K50" s="105">
        <f t="shared" si="0"/>
        <v>13.166118471840948</v>
      </c>
      <c r="L50" s="105">
        <f t="shared" si="1"/>
        <v>0.6050164458447712</v>
      </c>
    </row>
    <row r="51" spans="1:12" ht="12.75">
      <c r="A51">
        <v>18</v>
      </c>
      <c r="B51" s="102">
        <f t="shared" si="2"/>
        <v>1712154.2915210875</v>
      </c>
      <c r="C51" s="122"/>
      <c r="D51" s="102">
        <f t="shared" si="4"/>
        <v>1525728.2805887384</v>
      </c>
      <c r="E51" s="102"/>
      <c r="F51" s="102">
        <f t="shared" si="3"/>
        <v>1545843.2401994185</v>
      </c>
      <c r="G51" s="122"/>
      <c r="K51" s="105">
        <f t="shared" si="0"/>
        <v>13.75351307945723</v>
      </c>
      <c r="L51" s="105">
        <f t="shared" si="1"/>
        <v>0.5873946076162827</v>
      </c>
    </row>
    <row r="52" spans="1:12" ht="12.75">
      <c r="A52">
        <v>19</v>
      </c>
      <c r="B52" s="102">
        <f t="shared" si="2"/>
        <v>1735940.8017527082</v>
      </c>
      <c r="C52" s="122"/>
      <c r="D52" s="102">
        <f t="shared" si="4"/>
        <v>1550740.483973311</v>
      </c>
      <c r="E52" s="102"/>
      <c r="F52" s="102">
        <f t="shared" si="3"/>
        <v>1577318.3074040946</v>
      </c>
      <c r="G52" s="122"/>
      <c r="K52" s="105">
        <f t="shared" si="0"/>
        <v>14.323799106269155</v>
      </c>
      <c r="L52" s="105">
        <f t="shared" si="1"/>
        <v>0.570286026811925</v>
      </c>
    </row>
    <row r="53" spans="1:12" ht="12.75">
      <c r="A53">
        <v>20</v>
      </c>
      <c r="B53" s="102">
        <f t="shared" si="2"/>
        <v>1759034.501006709</v>
      </c>
      <c r="C53" s="122"/>
      <c r="D53" s="102">
        <f t="shared" si="4"/>
        <v>1575024.1765796926</v>
      </c>
      <c r="E53" s="102"/>
      <c r="F53" s="102">
        <f>$F$27+SUM($F$29:$F$32)*$K53+IF($A53&gt;=$B$8,$F$14*$M$45,0)+IF($A53&gt;=($B$8*2),$F$14*$L$58,0)+IF($A53&gt;=(38),$F$14*$M$70,0)+IF($A53&gt;=(51),$F$14*$L$83,0)+IF($A53&gt;=($B$9),$F$18*$L$58,0)+IF($A53&gt;=($B$9*2),$F$18*$L$83)+IF($A53&gt;=($B$10),$F$22*$L$83)</f>
        <v>1607876.6250785373</v>
      </c>
      <c r="G53" s="122"/>
      <c r="K53" s="105">
        <f t="shared" si="0"/>
        <v>14.87747486045549</v>
      </c>
      <c r="L53" s="105">
        <f t="shared" si="1"/>
        <v>0.553675754186335</v>
      </c>
    </row>
    <row r="54" spans="1:12" ht="12.75">
      <c r="A54">
        <v>21</v>
      </c>
      <c r="B54" s="102">
        <f t="shared" si="2"/>
        <v>1781455.5682436025</v>
      </c>
      <c r="C54" s="122"/>
      <c r="D54" s="102">
        <f t="shared" si="4"/>
        <v>1598600.5771684118</v>
      </c>
      <c r="E54" s="102"/>
      <c r="F54" s="102">
        <f t="shared" si="3"/>
        <v>1637544.8946653747</v>
      </c>
      <c r="G54" s="122"/>
      <c r="K54" s="105">
        <f t="shared" si="0"/>
        <v>15.415024136364547</v>
      </c>
      <c r="L54" s="105">
        <f t="shared" si="1"/>
        <v>0.5375492759090631</v>
      </c>
    </row>
    <row r="55" spans="1:12" ht="12.75">
      <c r="A55">
        <v>22</v>
      </c>
      <c r="B55" s="102">
        <f t="shared" si="2"/>
        <v>1803223.594687189</v>
      </c>
      <c r="C55" s="122"/>
      <c r="D55" s="102">
        <f>$D$27+SUM($D$29:$D$32)*$K55+IF($A55&gt;=$B$8,$D$14*$M$45,0)+IF($A55&gt;=($B$8*2),$D$14*$L$58,0)+IF($A55&gt;=(38),$D$14*$M$70,0)+IF($A55&gt;=(51),$D$14*$L$83,0)+IF($A55&gt;=($B$9),$D$18*$L$58,0)+IF($A55&gt;=($B$9*2),$D$18*$L$83)+IF($A55&gt;=($B$10),$D$22*$L$83)</f>
        <v>1621490.2864778487</v>
      </c>
      <c r="E55" s="122"/>
      <c r="F55" s="102">
        <f t="shared" si="3"/>
        <v>1666349.0398953145</v>
      </c>
      <c r="G55" s="122"/>
      <c r="K55" s="105">
        <f t="shared" si="0"/>
        <v>15.936916637247135</v>
      </c>
      <c r="L55" s="105">
        <f t="shared" si="1"/>
        <v>0.5218925008825855</v>
      </c>
    </row>
    <row r="56" spans="1:12" ht="12.75">
      <c r="A56">
        <v>23</v>
      </c>
      <c r="B56" s="102">
        <f t="shared" si="2"/>
        <v>1824357.6009430978</v>
      </c>
      <c r="C56" s="122"/>
      <c r="D56" s="102">
        <f t="shared" si="4"/>
        <v>1643713.3052248748</v>
      </c>
      <c r="E56" s="122"/>
      <c r="F56" s="102">
        <f t="shared" si="3"/>
        <v>1694314.229438945</v>
      </c>
      <c r="G56" s="122"/>
      <c r="K56" s="105">
        <f t="shared" si="0"/>
        <v>16.443608385676832</v>
      </c>
      <c r="L56" s="105">
        <f t="shared" si="1"/>
        <v>0.5066917484296947</v>
      </c>
    </row>
    <row r="57" spans="1:12" ht="12.75">
      <c r="A57">
        <v>24</v>
      </c>
      <c r="B57" s="102">
        <f t="shared" si="2"/>
        <v>1844876.0536187375</v>
      </c>
      <c r="C57" s="122"/>
      <c r="D57" s="102">
        <f t="shared" si="4"/>
        <v>1665289.0515812102</v>
      </c>
      <c r="E57" s="122"/>
      <c r="F57" s="102">
        <f t="shared" si="3"/>
        <v>1721464.89889878</v>
      </c>
      <c r="G57" s="122"/>
      <c r="K57" s="105">
        <f t="shared" si="0"/>
        <v>16.935542122016336</v>
      </c>
      <c r="L57" s="105">
        <f t="shared" si="1"/>
        <v>0.49193373633950943</v>
      </c>
    </row>
    <row r="58" spans="1:12" ht="12.75">
      <c r="A58">
        <v>25</v>
      </c>
      <c r="B58" s="102">
        <f t="shared" si="2"/>
        <v>1864796.8814591644</v>
      </c>
      <c r="C58" s="122"/>
      <c r="D58" s="102">
        <f t="shared" si="4"/>
        <v>1686236.3781407594</v>
      </c>
      <c r="E58" s="122"/>
      <c r="F58" s="102">
        <f t="shared" si="3"/>
        <v>1747824.7721607564</v>
      </c>
      <c r="G58" s="122"/>
      <c r="K58" s="105">
        <f t="shared" si="0"/>
        <v>17.413147691277995</v>
      </c>
      <c r="L58" s="105">
        <f t="shared" si="1"/>
        <v>0.47760556926165965</v>
      </c>
    </row>
    <row r="59" spans="1:12" ht="12.75">
      <c r="A59">
        <v>26</v>
      </c>
      <c r="B59" s="102">
        <f t="shared" si="2"/>
        <v>2371772.777229132</v>
      </c>
      <c r="C59" s="122"/>
      <c r="D59" s="102">
        <f>$D$27+SUM($D$29:$D$32)*$K59+IF($A59&gt;=$B$8,$D$14*$M$45,0)+IF($A59&gt;=($B$8*2),$D$14*$L$58,0)+IF($A59&gt;=(38),$D$14*$M$70,0)+IF($A59&gt;=(51),$D$14*$L$83,0)+IF($A59&gt;=($B$9),$D$18*$L$58,0)+IF($A59&gt;=($B$9*2),$D$18*$L$83)+IF($A59&gt;=($B$10),$D$22*$L$83)</f>
        <v>2072897.060016442</v>
      </c>
      <c r="E59" s="122"/>
      <c r="F59" s="102">
        <f t="shared" si="3"/>
        <v>2169829.5046110176</v>
      </c>
      <c r="G59" s="122"/>
      <c r="K59" s="105">
        <f t="shared" si="0"/>
        <v>17.876842418716503</v>
      </c>
      <c r="L59" s="105">
        <f t="shared" si="1"/>
        <v>0.4636947274385045</v>
      </c>
    </row>
    <row r="60" spans="1:12" ht="12.75">
      <c r="A60">
        <v>27</v>
      </c>
      <c r="B60" s="102">
        <f t="shared" si="2"/>
        <v>2390550.0680580763</v>
      </c>
      <c r="C60" s="122"/>
      <c r="D60" s="102">
        <f t="shared" si="4"/>
        <v>2092641.9243387617</v>
      </c>
      <c r="E60" s="122"/>
      <c r="F60" s="102">
        <f t="shared" si="3"/>
        <v>2194676.2133130403</v>
      </c>
      <c r="G60" s="122"/>
      <c r="K60" s="105">
        <f t="shared" si="0"/>
        <v>18.327031474482038</v>
      </c>
      <c r="L60" s="105">
        <f t="shared" si="1"/>
        <v>0.45018905576553836</v>
      </c>
    </row>
    <row r="61" spans="1:12" ht="12.75">
      <c r="A61">
        <v>28</v>
      </c>
      <c r="B61" s="102">
        <f t="shared" si="2"/>
        <v>2408780.447503653</v>
      </c>
      <c r="C61" s="122"/>
      <c r="D61" s="102">
        <f t="shared" si="4"/>
        <v>2111811.6955254804</v>
      </c>
      <c r="E61" s="122"/>
      <c r="F61" s="102">
        <f t="shared" si="3"/>
        <v>2218799.2314703446</v>
      </c>
      <c r="G61" s="122"/>
      <c r="K61" s="105">
        <f t="shared" si="0"/>
        <v>18.764108227652464</v>
      </c>
      <c r="L61" s="105">
        <f t="shared" si="1"/>
        <v>0.4370767531704256</v>
      </c>
    </row>
    <row r="62" spans="1:12" ht="12.75">
      <c r="A62">
        <v>29</v>
      </c>
      <c r="B62" s="102">
        <f t="shared" si="2"/>
        <v>2426479.8450236307</v>
      </c>
      <c r="C62" s="122"/>
      <c r="D62" s="102">
        <f t="shared" si="4"/>
        <v>2130423.1238621</v>
      </c>
      <c r="E62" s="122"/>
      <c r="F62" s="102">
        <f t="shared" si="3"/>
        <v>2242219.637448309</v>
      </c>
      <c r="G62" s="122"/>
      <c r="J62">
        <v>0</v>
      </c>
      <c r="K62" s="105">
        <f t="shared" si="0"/>
        <v>19.188454589953842</v>
      </c>
      <c r="L62" s="105">
        <f t="shared" si="1"/>
        <v>0.4243463623013841</v>
      </c>
    </row>
    <row r="63" spans="1:12" ht="12.75">
      <c r="A63">
        <v>30</v>
      </c>
      <c r="B63" s="102">
        <f t="shared" si="2"/>
        <v>2443663.7261109874</v>
      </c>
      <c r="C63" s="122"/>
      <c r="D63" s="102">
        <f t="shared" si="4"/>
        <v>2148492.471761731</v>
      </c>
      <c r="E63" s="122"/>
      <c r="F63" s="102">
        <f t="shared" si="3"/>
        <v>2264957.895679343</v>
      </c>
      <c r="G63" s="122"/>
      <c r="J63">
        <v>0</v>
      </c>
      <c r="K63" s="105">
        <f t="shared" si="0"/>
        <v>19.60044134946975</v>
      </c>
      <c r="L63" s="105">
        <f t="shared" si="1"/>
        <v>0.4119867595159069</v>
      </c>
    </row>
    <row r="64" spans="1:12" ht="12.75">
      <c r="A64">
        <v>31</v>
      </c>
      <c r="B64" s="102">
        <f t="shared" si="2"/>
        <v>2460347.1058074506</v>
      </c>
      <c r="C64" s="122"/>
      <c r="D64" s="102">
        <f>$D$27+SUM($D$29:$D$32)*$K64+IF($A64&gt;=$B$8,$D$14*$M$45,0)+IF($A64&gt;=($B$8*2),$D$14*$L$58,0)+IF($A64&gt;=(38),$D$14*$M$70,0)+IF($A64&gt;=(51),$D$14*$L$83,0)+IF($A64&gt;=($B$9),$D$18*$L$58,0)+IF($A64&gt;=($B$9*2),$D$18*$L$83)+IF($A64&gt;=($B$10),$D$22*$L$83)</f>
        <v>2166035.527974965</v>
      </c>
      <c r="E64" s="122"/>
      <c r="F64" s="102">
        <f t="shared" si="3"/>
        <v>2287033.874544425</v>
      </c>
      <c r="G64" s="122"/>
      <c r="J64">
        <v>0</v>
      </c>
      <c r="K64" s="105">
        <f t="shared" si="0"/>
        <v>20.000428494630828</v>
      </c>
      <c r="L64" s="105">
        <f t="shared" si="1"/>
        <v>0.3999871451610746</v>
      </c>
    </row>
    <row r="65" spans="1:12" ht="12.75">
      <c r="A65">
        <v>32</v>
      </c>
      <c r="B65" s="102">
        <f t="shared" si="2"/>
        <v>2476544.561823434</v>
      </c>
      <c r="C65" s="122"/>
      <c r="D65" s="102">
        <f t="shared" si="4"/>
        <v>2183067.6213858714</v>
      </c>
      <c r="E65" s="122"/>
      <c r="F65" s="102">
        <f t="shared" si="3"/>
        <v>2308466.8637338243</v>
      </c>
      <c r="G65" s="122"/>
      <c r="K65" s="105">
        <f t="shared" si="0"/>
        <v>20.38876552876779</v>
      </c>
      <c r="L65" s="105">
        <f t="shared" si="1"/>
        <v>0.3883370341369657</v>
      </c>
    </row>
    <row r="66" spans="1:12" ht="12.75">
      <c r="A66">
        <v>33</v>
      </c>
      <c r="B66" s="102">
        <f t="shared" si="2"/>
        <v>2492270.247275845</v>
      </c>
      <c r="C66" s="122"/>
      <c r="D66" s="102">
        <f t="shared" si="4"/>
        <v>2199603.6344061694</v>
      </c>
      <c r="E66" s="122"/>
      <c r="F66" s="102">
        <f t="shared" si="3"/>
        <v>2329275.591102173</v>
      </c>
      <c r="G66" s="122"/>
      <c r="K66" s="105">
        <f aca="true" t="shared" si="5" ref="K66:K83">($B$7^A66-1)/(($B$7-1)*$B$7^A66)</f>
        <v>20.76579177550271</v>
      </c>
      <c r="L66" s="105">
        <f aca="true" t="shared" si="6" ref="L66:L82">1/$B$7^A66</f>
        <v>0.37702624673491814</v>
      </c>
    </row>
    <row r="67" spans="1:12" ht="12.75">
      <c r="A67">
        <v>34</v>
      </c>
      <c r="B67" s="102">
        <f t="shared" si="2"/>
        <v>2507537.903054885</v>
      </c>
      <c r="C67" s="122"/>
      <c r="D67" s="102">
        <f t="shared" si="4"/>
        <v>2215658.0159792737</v>
      </c>
      <c r="E67" s="122"/>
      <c r="F67" s="102">
        <f t="shared" si="3"/>
        <v>2349478.239032609</v>
      </c>
      <c r="G67" s="122"/>
      <c r="K67" s="105">
        <f t="shared" si="5"/>
        <v>21.131836675245346</v>
      </c>
      <c r="L67" s="105">
        <f t="shared" si="6"/>
        <v>0.36604489974263904</v>
      </c>
    </row>
    <row r="68" spans="1:12" ht="12.75">
      <c r="A68">
        <v>35</v>
      </c>
      <c r="B68" s="102">
        <f t="shared" si="2"/>
        <v>2522360.869830652</v>
      </c>
      <c r="C68" s="122"/>
      <c r="D68" s="102">
        <f t="shared" si="4"/>
        <v>2231244.794205589</v>
      </c>
      <c r="E68" s="122"/>
      <c r="F68" s="102">
        <f>$F$27+SUM($F$29:$F$32)*$K68+IF($A68&gt;=$B$8,$F$14*$M$45,0)+IF($A68&gt;=($B$8*2),$F$14*$L$58,0)+IF($A68&gt;=(38),$F$14*$M$70,0)+IF($A68&gt;=(51),$F$14*$L$83,0)+IF($A68&gt;=($B$9),$F$18*$L$58,0)+IF($A68&gt;=($B$9*2),$F$18*$L$83)+IF($A68&gt;=($B$10),$F$22*$L$83)</f>
        <v>2369092.4603242944</v>
      </c>
      <c r="G68" s="122"/>
      <c r="K68" s="105">
        <f t="shared" si="5"/>
        <v>21.487220073053734</v>
      </c>
      <c r="L68" s="105">
        <f t="shared" si="6"/>
        <v>0.35538339780838735</v>
      </c>
    </row>
    <row r="69" spans="1:12" ht="12.75">
      <c r="A69">
        <v>36</v>
      </c>
      <c r="B69" s="102">
        <f t="shared" si="2"/>
        <v>2536752.099710038</v>
      </c>
      <c r="C69" s="122"/>
      <c r="D69" s="102">
        <f>$D$27+SUM($D$29:$D$32)*$K69+IF($A69&gt;=$B$8,$D$14*$M$45,0)+IF($A69&gt;=($B$8*2),$D$14*$L$58,0)+IF($A69&gt;=(38),$D$14*$M$70,0)+IF($A69&gt;=(51),$D$14*$L$83,0)+IF($A69&gt;=($B$9),$D$18*$L$58,0)+IF($A69&gt;=($B$9*2),$D$18*$L$83)+IF($A69&gt;=($B$10),$D$22*$L$83)</f>
        <v>2246377.5886000698</v>
      </c>
      <c r="E69" s="122"/>
      <c r="F69" s="102">
        <f t="shared" si="3"/>
        <v>2388135.3936171927</v>
      </c>
      <c r="G69" s="122"/>
      <c r="K69" s="105">
        <f t="shared" si="5"/>
        <v>21.83225249811042</v>
      </c>
      <c r="L69" s="105">
        <f t="shared" si="6"/>
        <v>0.34503242505668674</v>
      </c>
    </row>
    <row r="70" spans="1:13" ht="12.75">
      <c r="A70">
        <v>37</v>
      </c>
      <c r="B70" s="102">
        <f t="shared" si="2"/>
        <v>2550724.1675541014</v>
      </c>
      <c r="C70" s="122"/>
      <c r="D70" s="102">
        <f t="shared" si="4"/>
        <v>2261069.6219927697</v>
      </c>
      <c r="E70" s="122"/>
      <c r="F70" s="102">
        <f t="shared" si="3"/>
        <v>2406623.67836758</v>
      </c>
      <c r="G70" s="122"/>
      <c r="K70" s="105">
        <f t="shared" si="5"/>
        <v>22.16723543505866</v>
      </c>
      <c r="L70" s="105">
        <f t="shared" si="6"/>
        <v>0.3349829369482396</v>
      </c>
      <c r="M70" s="105">
        <f>(L70+L71)/2</f>
        <v>0.33010454466258565</v>
      </c>
    </row>
    <row r="71" spans="1:13" ht="12.75">
      <c r="A71">
        <v>38</v>
      </c>
      <c r="B71" s="102">
        <f t="shared" si="2"/>
        <v>2620407.054558453</v>
      </c>
      <c r="C71" s="122"/>
      <c r="D71" s="102">
        <f>$D$27+SUM($D$29:$D$32)*$K71+IF($A71&gt;=$B$8,$D$14*$M$45,0)+IF($A71&gt;=($B$8*2),$D$14*$L$58,0)+IF($A71&gt;=(38),$D$14*$M$70,0)+IF($A71&gt;=(51),$D$14*$L$83,0)+IF($A71&gt;=($B$9),$D$18*$L$58,0)+IF($A71&gt;=($B$9*2),$D$18*$L$83)+IF($A71&gt;=($B$10),$D$22*$L$83)</f>
        <v>2349607.254631851</v>
      </c>
      <c r="E71" s="122"/>
      <c r="F71" s="102">
        <f t="shared" si="3"/>
        <v>2470788.1056401343</v>
      </c>
      <c r="G71" s="122"/>
      <c r="K71" s="105">
        <f t="shared" si="5"/>
        <v>22.492461587435592</v>
      </c>
      <c r="L71" s="105">
        <f t="shared" si="6"/>
        <v>0.3252261523769317</v>
      </c>
      <c r="M71" s="105"/>
    </row>
    <row r="72" spans="1:12" ht="12.75">
      <c r="A72">
        <v>39</v>
      </c>
      <c r="B72" s="102">
        <f t="shared" si="2"/>
        <v>2633577.0685504065</v>
      </c>
      <c r="C72" s="122"/>
      <c r="D72" s="102">
        <f t="shared" si="4"/>
        <v>2363455.9052046663</v>
      </c>
      <c r="E72" s="122"/>
      <c r="F72" s="102">
        <f t="shared" si="3"/>
        <v>2488215.087212749</v>
      </c>
      <c r="G72" s="122"/>
      <c r="K72" s="105">
        <f t="shared" si="5"/>
        <v>22.80821513343261</v>
      </c>
      <c r="L72" s="105">
        <f t="shared" si="6"/>
        <v>0.315753545997021</v>
      </c>
    </row>
    <row r="73" spans="1:12" ht="12.75">
      <c r="A73">
        <v>40</v>
      </c>
      <c r="B73" s="102">
        <f t="shared" si="2"/>
        <v>2646363.489901818</v>
      </c>
      <c r="C73" s="122"/>
      <c r="D73" s="102">
        <f>$D$27+SUM($D$29:$D$32)*$K73+IF($A73&gt;=$B$8,$D$14*$M$45,0)+IF($A73&gt;=($B$8*2),$D$14*$L$58,0)+IF($A73&gt;=(38),$D$14*$M$70,0)+IF($A73&gt;=(51),$D$14*$L$83,0)+IF($A73&gt;=($B$9),$D$18*$L$58,0)+IF($A73&gt;=($B$9*2),$D$18*$L$83)+IF($A73&gt;=($B$10),$D$22*$L$83)</f>
        <v>2376901.1970229335</v>
      </c>
      <c r="E73" s="122"/>
      <c r="F73" s="102">
        <f t="shared" si="3"/>
        <v>2505134.4867978115</v>
      </c>
      <c r="G73" s="122"/>
      <c r="K73" s="105">
        <f t="shared" si="5"/>
        <v>23.11477197420642</v>
      </c>
      <c r="L73" s="105">
        <f t="shared" si="6"/>
        <v>0.30655684077380685</v>
      </c>
    </row>
    <row r="74" spans="1:12" ht="12.75">
      <c r="A74">
        <v>41</v>
      </c>
      <c r="B74" s="102">
        <f t="shared" si="2"/>
        <v>2658777.4912138674</v>
      </c>
      <c r="C74" s="122"/>
      <c r="D74" s="102">
        <f t="shared" si="4"/>
        <v>2389954.878399892</v>
      </c>
      <c r="E74" s="122"/>
      <c r="F74" s="102">
        <f t="shared" si="3"/>
        <v>2521561.088336707</v>
      </c>
      <c r="G74" s="122"/>
      <c r="K74" s="105">
        <f t="shared" si="5"/>
        <v>23.412399974957687</v>
      </c>
      <c r="L74" s="105">
        <f t="shared" si="6"/>
        <v>0.2976280007512688</v>
      </c>
    </row>
    <row r="75" spans="1:12" ht="12.75">
      <c r="A75">
        <v>42</v>
      </c>
      <c r="B75" s="102">
        <f t="shared" si="2"/>
        <v>2670829.9196721683</v>
      </c>
      <c r="C75" s="122"/>
      <c r="D75" s="102">
        <f t="shared" si="4"/>
        <v>2402628.3554649004</v>
      </c>
      <c r="E75" s="122"/>
      <c r="F75" s="102">
        <f t="shared" si="3"/>
        <v>2537509.2451705867</v>
      </c>
      <c r="G75" s="122"/>
      <c r="K75" s="105">
        <f t="shared" si="5"/>
        <v>23.701359198988044</v>
      </c>
      <c r="L75" s="105">
        <f t="shared" si="6"/>
        <v>0.288959224030358</v>
      </c>
    </row>
    <row r="76" spans="1:12" ht="12.75">
      <c r="A76">
        <v>43</v>
      </c>
      <c r="B76" s="102">
        <f t="shared" si="2"/>
        <v>2682531.306524887</v>
      </c>
      <c r="C76" s="122"/>
      <c r="D76" s="102">
        <f>$D$27+SUM($D$29:$D$32)*$K76+IF($A76&gt;=$B$8,$D$14*$M$45,0)+IF($A76&gt;=($B$8*2),$D$14*$L$58,0)+IF($A76&gt;=(38),$D$14*$M$70,0)+IF($A76&gt;=(51),$D$14*$L$83,0)+IF($A76&gt;=($B$9),$D$18*$L$58,0)+IF($A76&gt;=($B$9*2),$D$18*$L$83)+IF($A76&gt;=($B$10),$D$22*$L$83)</f>
        <v>2414932.702129957</v>
      </c>
      <c r="E76" s="122"/>
      <c r="F76" s="102">
        <f t="shared" si="3"/>
        <v>2552992.89258212</v>
      </c>
      <c r="G76" s="122"/>
      <c r="K76" s="105">
        <f t="shared" si="5"/>
        <v>23.981902134939848</v>
      </c>
      <c r="L76" s="105">
        <f t="shared" si="6"/>
        <v>0.2805429359518039</v>
      </c>
    </row>
    <row r="77" spans="1:12" ht="12.75">
      <c r="A77">
        <v>44</v>
      </c>
      <c r="B77" s="102">
        <f t="shared" si="2"/>
        <v>2693891.876284809</v>
      </c>
      <c r="C77" s="122"/>
      <c r="D77" s="102">
        <f t="shared" si="4"/>
        <v>2426878.6697659343</v>
      </c>
      <c r="E77" s="122"/>
      <c r="F77" s="102">
        <f t="shared" si="3"/>
        <v>2568025.5599719584</v>
      </c>
      <c r="G77" s="122"/>
      <c r="K77" s="105">
        <f t="shared" si="5"/>
        <v>24.25427391741733</v>
      </c>
      <c r="L77" s="105">
        <f t="shared" si="6"/>
        <v>0.27237178247747956</v>
      </c>
    </row>
    <row r="78" spans="1:12" ht="12.75">
      <c r="A78">
        <v>45</v>
      </c>
      <c r="B78" s="102">
        <f t="shared" si="2"/>
        <v>2704921.5556633733</v>
      </c>
      <c r="C78" s="122"/>
      <c r="D78" s="102">
        <f t="shared" si="4"/>
        <v>2438476.69659698</v>
      </c>
      <c r="E78" s="122"/>
      <c r="F78" s="102">
        <f t="shared" si="3"/>
        <v>2582620.382680539</v>
      </c>
      <c r="G78" s="122"/>
      <c r="K78" s="105">
        <f t="shared" si="5"/>
        <v>24.51871254118187</v>
      </c>
      <c r="L78" s="105">
        <f t="shared" si="6"/>
        <v>0.26443862376454325</v>
      </c>
    </row>
    <row r="79" spans="1:12" ht="12.75">
      <c r="A79">
        <v>46</v>
      </c>
      <c r="B79" s="102">
        <f t="shared" si="2"/>
        <v>2715629.982244504</v>
      </c>
      <c r="C79" s="122"/>
      <c r="D79" s="102">
        <f t="shared" si="4"/>
        <v>2449736.9168212963</v>
      </c>
      <c r="E79" s="122"/>
      <c r="F79" s="102">
        <f t="shared" si="3"/>
        <v>2596790.113465569</v>
      </c>
      <c r="G79" s="122"/>
      <c r="K79" s="105">
        <f t="shared" si="5"/>
        <v>24.77544906910861</v>
      </c>
      <c r="L79" s="105">
        <f t="shared" si="6"/>
        <v>0.256736527926741</v>
      </c>
    </row>
    <row r="80" spans="1:12" ht="12.75">
      <c r="A80">
        <v>47</v>
      </c>
      <c r="B80" s="102">
        <f t="shared" si="2"/>
        <v>2726026.512905796</v>
      </c>
      <c r="C80" s="122"/>
      <c r="D80" s="102">
        <f t="shared" si="4"/>
        <v>2460669.1694662636</v>
      </c>
      <c r="E80" s="122"/>
      <c r="F80" s="102">
        <f t="shared" si="3"/>
        <v>2610547.13364521</v>
      </c>
      <c r="G80" s="122"/>
      <c r="K80" s="105">
        <f t="shared" si="5"/>
        <v>25.02470783408603</v>
      </c>
      <c r="L80" s="105">
        <f t="shared" si="6"/>
        <v>0.24925876497741845</v>
      </c>
    </row>
    <row r="81" spans="1:12" ht="12.75">
      <c r="A81">
        <v>48</v>
      </c>
      <c r="B81" s="102">
        <f t="shared" si="2"/>
        <v>2736120.2319944287</v>
      </c>
      <c r="C81" s="122"/>
      <c r="D81" s="102">
        <f t="shared" si="4"/>
        <v>2471283.0069856495</v>
      </c>
      <c r="E81" s="122"/>
      <c r="F81" s="102">
        <f t="shared" si="3"/>
        <v>2623903.4639167055</v>
      </c>
      <c r="G81" s="122"/>
      <c r="K81" s="105">
        <f t="shared" si="5"/>
        <v>25.26670663503498</v>
      </c>
      <c r="L81" s="105">
        <f t="shared" si="6"/>
        <v>0.24199880094894996</v>
      </c>
    </row>
    <row r="82" spans="1:12" ht="12.75">
      <c r="A82">
        <v>49</v>
      </c>
      <c r="B82" s="102">
        <f t="shared" si="2"/>
        <v>2745919.959264946</v>
      </c>
      <c r="C82" s="122"/>
      <c r="D82" s="102">
        <f t="shared" si="4"/>
        <v>2481587.7036064123</v>
      </c>
      <c r="E82" s="122"/>
      <c r="F82" s="102">
        <f t="shared" si="3"/>
        <v>2636870.7748599052</v>
      </c>
      <c r="G82" s="122"/>
      <c r="K82" s="105">
        <f t="shared" si="5"/>
        <v>25.501656927218423</v>
      </c>
      <c r="L82" s="105">
        <f t="shared" si="6"/>
        <v>0.2349502921834466</v>
      </c>
    </row>
    <row r="83" spans="1:13" ht="12.75">
      <c r="A83">
        <v>50</v>
      </c>
      <c r="B83" s="102">
        <f t="shared" si="2"/>
        <v>2755434.257585837</v>
      </c>
      <c r="C83" s="122"/>
      <c r="D83" s="102">
        <f t="shared" si="4"/>
        <v>2491592.2634323956</v>
      </c>
      <c r="E83" s="122"/>
      <c r="F83" s="102">
        <f t="shared" si="3"/>
        <v>2649460.397134857</v>
      </c>
      <c r="G83" s="122"/>
      <c r="K83" s="105">
        <f t="shared" si="5"/>
        <v>25.72976400700818</v>
      </c>
      <c r="L83" s="105">
        <v>0</v>
      </c>
      <c r="M83" s="102">
        <f>G27+SUM(G29:G31)*K83+G27*M45+G27*L58+G27*M70+G27*L83</f>
        <v>0</v>
      </c>
    </row>
    <row r="128" ht="13.5" customHeight="1"/>
    <row r="135" spans="2:6" ht="12.75">
      <c r="B135" s="102"/>
      <c r="C135" s="102"/>
      <c r="D135" s="102"/>
      <c r="E135" s="105"/>
      <c r="F135" s="105"/>
    </row>
    <row r="136" spans="2:6" ht="12.75">
      <c r="B136" s="102"/>
      <c r="C136" s="102"/>
      <c r="D136" s="102"/>
      <c r="E136" s="105"/>
      <c r="F136" s="105"/>
    </row>
    <row r="137" spans="2:6" ht="12.75">
      <c r="B137" s="102"/>
      <c r="C137" s="102"/>
      <c r="D137" s="102"/>
      <c r="E137" s="105"/>
      <c r="F137" s="105"/>
    </row>
    <row r="138" spans="2:6" ht="12.75">
      <c r="B138" s="102"/>
      <c r="C138" s="102"/>
      <c r="D138" s="102"/>
      <c r="E138" s="105"/>
      <c r="F138" s="105"/>
    </row>
    <row r="139" spans="2:6" ht="12.75">
      <c r="B139" s="102"/>
      <c r="C139" s="102"/>
      <c r="D139" s="102"/>
      <c r="E139" s="105"/>
      <c r="F139" s="105"/>
    </row>
    <row r="140" spans="2:6" ht="12.75">
      <c r="B140" s="102"/>
      <c r="C140" s="102"/>
      <c r="D140" s="102"/>
      <c r="E140" s="105"/>
      <c r="F140" s="105"/>
    </row>
    <row r="141" spans="2:6" ht="12.75">
      <c r="B141" s="102"/>
      <c r="C141" s="102"/>
      <c r="D141" s="102"/>
      <c r="E141" s="105"/>
      <c r="F141" s="105"/>
    </row>
    <row r="142" spans="2:6" ht="12.75">
      <c r="B142" s="102"/>
      <c r="C142" s="102"/>
      <c r="D142" s="102"/>
      <c r="E142" s="105"/>
      <c r="F142" s="105"/>
    </row>
    <row r="143" spans="2:6" ht="12.75">
      <c r="B143" s="102"/>
      <c r="C143" s="102"/>
      <c r="D143" s="102"/>
      <c r="E143" s="105"/>
      <c r="F143" s="105"/>
    </row>
    <row r="144" spans="2:6" ht="12.75">
      <c r="B144" s="102"/>
      <c r="C144" s="102"/>
      <c r="D144" s="102"/>
      <c r="E144" s="105"/>
      <c r="F144" s="105"/>
    </row>
    <row r="145" spans="2:6" ht="12.75">
      <c r="B145" s="102"/>
      <c r="C145" s="102"/>
      <c r="D145" s="102"/>
      <c r="E145" s="105"/>
      <c r="F145" s="105"/>
    </row>
    <row r="146" spans="2:6" ht="12.75">
      <c r="B146" s="102"/>
      <c r="C146" s="102"/>
      <c r="D146" s="102"/>
      <c r="E146" s="105"/>
      <c r="F146" s="105"/>
    </row>
    <row r="147" spans="2:6" ht="12.75">
      <c r="B147" s="102"/>
      <c r="C147" s="102"/>
      <c r="D147" s="102"/>
      <c r="E147" s="105"/>
      <c r="F147" s="105"/>
    </row>
    <row r="148" spans="2:6" ht="12.75">
      <c r="B148" s="102"/>
      <c r="C148" s="102"/>
      <c r="D148" s="102"/>
      <c r="E148" s="105"/>
      <c r="F148" s="105"/>
    </row>
    <row r="149" spans="1:6" ht="12.75">
      <c r="A149" s="12"/>
      <c r="B149" s="103"/>
      <c r="C149" s="103"/>
      <c r="D149" s="103"/>
      <c r="E149" s="130"/>
      <c r="F149" s="130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="115" zoomScaleNormal="115" zoomScaleSheetLayoutView="115" zoomScalePageLayoutView="0" workbookViewId="0" topLeftCell="H1">
      <selection activeCell="AB7" sqref="AB7"/>
    </sheetView>
  </sheetViews>
  <sheetFormatPr defaultColWidth="0" defaultRowHeight="12.75"/>
  <cols>
    <col min="1" max="1" width="35.00390625" style="0" hidden="1" customWidth="1"/>
    <col min="2" max="2" width="6.57421875" style="0" hidden="1" customWidth="1"/>
    <col min="3" max="3" width="16.57421875" style="1" hidden="1" customWidth="1"/>
    <col min="4" max="4" width="11.28125" style="0" hidden="1" customWidth="1"/>
    <col min="5" max="5" width="24.57421875" style="1" hidden="1" customWidth="1"/>
    <col min="6" max="6" width="7.7109375" style="0" hidden="1" customWidth="1"/>
    <col min="7" max="7" width="49.140625" style="0" hidden="1" customWidth="1"/>
    <col min="8" max="16384" width="1.8515625" style="0" customWidth="1"/>
  </cols>
  <sheetData>
    <row r="1" spans="1:7" ht="27" thickBot="1">
      <c r="A1" s="99" t="s">
        <v>225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'Dateneingabe und Ergebnisse'!F6</f>
        <v>3100</v>
      </c>
      <c r="C3" s="85" t="s">
        <v>13</v>
      </c>
      <c r="D3" s="12"/>
      <c r="E3"/>
    </row>
    <row r="4" spans="1:5" ht="15.75" customHeight="1">
      <c r="A4" s="9" t="s">
        <v>7</v>
      </c>
      <c r="B4" s="86">
        <v>200</v>
      </c>
      <c r="C4" s="76" t="s">
        <v>73</v>
      </c>
      <c r="D4" s="57"/>
      <c r="E4"/>
    </row>
    <row r="5" spans="1:5" ht="15.75" customHeight="1">
      <c r="A5" s="9" t="s">
        <v>168</v>
      </c>
      <c r="B5" s="147">
        <f>'Dateneingabe und Ergebnisse'!I7</f>
        <v>25</v>
      </c>
      <c r="C5" s="76" t="s">
        <v>169</v>
      </c>
      <c r="D5" s="57"/>
      <c r="E5"/>
    </row>
    <row r="6" spans="1:5" ht="15.75" customHeight="1">
      <c r="A6" s="9" t="s">
        <v>109</v>
      </c>
      <c r="B6" s="86"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620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f>IF(B3&lt;5000,2,1)</f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533</v>
      </c>
      <c r="B20" s="40"/>
      <c r="C20" s="14"/>
      <c r="D20" s="12" t="s">
        <v>36</v>
      </c>
      <c r="E20" s="12"/>
      <c r="F20" s="12"/>
    </row>
    <row r="21" spans="1:5" ht="12.75">
      <c r="A21" s="3" t="s">
        <v>270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58</v>
      </c>
      <c r="C22" s="66" t="s">
        <v>2</v>
      </c>
      <c r="E22"/>
    </row>
    <row r="23" spans="1:7" ht="12.75">
      <c r="A23" s="3" t="s">
        <v>57</v>
      </c>
      <c r="B23" s="67">
        <f>$B$24/($B$21/100)/1000</f>
        <v>17.421576009407154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174.21576009407156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0.936643871473503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14.647499999999994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0.058589999999999975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9.449999999999996</v>
      </c>
      <c r="C34" s="66" t="s">
        <v>53</v>
      </c>
      <c r="E34"/>
    </row>
    <row r="35" spans="1:7" ht="12.75">
      <c r="A35" s="3" t="s">
        <v>81</v>
      </c>
      <c r="B35" s="78">
        <f>'Dateneingabe und Ergebnisse'!F8</f>
        <v>25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1.86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2.169999999999999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188.86326009407156</v>
      </c>
      <c r="C42" s="66" t="s">
        <v>60</v>
      </c>
      <c r="E42"/>
    </row>
    <row r="43" spans="1:5" ht="12.75">
      <c r="A43" s="3" t="s">
        <v>101</v>
      </c>
      <c r="B43" s="67">
        <f>B31+B23</f>
        <v>17.480166009407153</v>
      </c>
      <c r="C43" s="66" t="s">
        <v>0</v>
      </c>
      <c r="E43"/>
    </row>
    <row r="44" spans="1:5" ht="12.75">
      <c r="A44" s="3" t="s">
        <v>128</v>
      </c>
      <c r="B44" s="67">
        <f>(B42/1000)/B43*100</f>
        <v>1.080443171949469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143.48410001347733</v>
      </c>
      <c r="C47" s="66" t="s">
        <v>6</v>
      </c>
      <c r="E47"/>
    </row>
    <row r="48" spans="1:5" ht="12.75">
      <c r="A48" s="3" t="s">
        <v>69</v>
      </c>
      <c r="B48" s="67">
        <f>B22/100*B24</f>
        <v>101.0451408545615</v>
      </c>
      <c r="C48" s="66" t="s">
        <v>6</v>
      </c>
      <c r="E48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3100</v>
      </c>
      <c r="C52" s="149" t="s">
        <v>9</v>
      </c>
      <c r="D52" s="51"/>
      <c r="E52" s="12"/>
    </row>
    <row r="53" spans="1:5" ht="15.75">
      <c r="A53" s="3" t="s">
        <v>33</v>
      </c>
      <c r="B53" s="18">
        <f>B9*B7*10^3/(0.06*10^6)</f>
        <v>3100</v>
      </c>
      <c r="C53" s="149" t="s">
        <v>9</v>
      </c>
      <c r="D53" s="51"/>
      <c r="E53" s="12"/>
    </row>
    <row r="54" spans="1:5" ht="15.75">
      <c r="A54" s="3" t="s">
        <v>35</v>
      </c>
      <c r="B54" s="18">
        <f>(B10*B7*10^3/10^6)/0.011</f>
        <v>3100.0000000000005</v>
      </c>
      <c r="C54" s="149" t="s">
        <v>9</v>
      </c>
      <c r="D54" s="51"/>
      <c r="E54" s="12"/>
    </row>
    <row r="55" spans="1:5" ht="15.75">
      <c r="A55" s="3" t="s">
        <v>42</v>
      </c>
      <c r="B55" s="18">
        <f>B11*B7*10^3/(0.0065*10^6)</f>
        <v>3100</v>
      </c>
      <c r="C55" s="149" t="s">
        <v>9</v>
      </c>
      <c r="D55" s="51"/>
      <c r="E55" s="12"/>
    </row>
    <row r="56" spans="1:5" ht="15.75">
      <c r="A56" s="3" t="s">
        <v>34</v>
      </c>
      <c r="B56" s="18">
        <f>B12*B7*10^3/(0.0017*10^6)</f>
        <v>3100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56.19863228841018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32.595206727277905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79">
        <v>0</v>
      </c>
      <c r="C65" s="66" t="s">
        <v>130</v>
      </c>
      <c r="D65" s="55">
        <v>275</v>
      </c>
      <c r="E65" s="56">
        <v>320</v>
      </c>
    </row>
    <row r="66" spans="1:5" ht="15.75" customHeight="1">
      <c r="A66" s="3" t="s">
        <v>131</v>
      </c>
      <c r="B66" s="79">
        <f>B42*B22/100*B65/1000</f>
        <v>0</v>
      </c>
      <c r="C66" s="66" t="s">
        <v>0</v>
      </c>
      <c r="D66" s="109"/>
      <c r="E66" s="109"/>
    </row>
    <row r="67" spans="1:5" ht="15.75" customHeight="1">
      <c r="A67" s="3" t="s">
        <v>132</v>
      </c>
      <c r="B67" s="79"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79">
        <f>B67*B66</f>
        <v>0</v>
      </c>
      <c r="C68" s="66" t="s">
        <v>1</v>
      </c>
      <c r="D68" s="109"/>
      <c r="E68" s="109"/>
    </row>
    <row r="69" spans="1:5" ht="15.75" customHeight="1">
      <c r="A69" s="3" t="s">
        <v>136</v>
      </c>
      <c r="B69" s="79">
        <v>30</v>
      </c>
      <c r="C69" s="66" t="s">
        <v>137</v>
      </c>
      <c r="D69" s="109"/>
      <c r="E69" s="109"/>
    </row>
    <row r="70" spans="1:5" ht="15.75" customHeight="1">
      <c r="A70" s="3" t="s">
        <v>135</v>
      </c>
      <c r="B70" s="79">
        <f>B68*B69/100</f>
        <v>0</v>
      </c>
      <c r="C70" s="66" t="s">
        <v>1</v>
      </c>
      <c r="D70" s="109"/>
      <c r="E70" s="109"/>
    </row>
    <row r="71" spans="1:5" ht="15.75">
      <c r="A71" s="4" t="s">
        <v>44</v>
      </c>
      <c r="B71" s="58">
        <f>B70*365/B3</f>
        <v>0</v>
      </c>
      <c r="C71" s="7" t="s">
        <v>30</v>
      </c>
      <c r="D71" s="55">
        <v>10</v>
      </c>
      <c r="E71" s="56">
        <v>20</v>
      </c>
    </row>
    <row r="72" spans="1:5" ht="15.75">
      <c r="A72" s="20" t="s">
        <v>23</v>
      </c>
      <c r="B72" s="58">
        <v>0</v>
      </c>
      <c r="C72" s="7" t="s">
        <v>30</v>
      </c>
      <c r="D72" s="55" t="s">
        <v>12</v>
      </c>
      <c r="E72" s="56" t="s">
        <v>12</v>
      </c>
    </row>
    <row r="73" spans="1:5" ht="15.75">
      <c r="A73" s="20" t="s">
        <v>45</v>
      </c>
      <c r="B73" s="58">
        <v>0</v>
      </c>
      <c r="C73" s="7" t="s">
        <v>30</v>
      </c>
      <c r="D73" s="55">
        <v>10</v>
      </c>
      <c r="E73" s="56">
        <v>50</v>
      </c>
    </row>
    <row r="74" spans="1:5" ht="15.75">
      <c r="A74" s="20" t="s">
        <v>46</v>
      </c>
      <c r="B74" s="58">
        <v>0</v>
      </c>
      <c r="C74" s="7" t="s">
        <v>30</v>
      </c>
      <c r="D74" s="55">
        <v>0</v>
      </c>
      <c r="E74" s="56">
        <v>20</v>
      </c>
    </row>
    <row r="75" spans="1:5" ht="14.25">
      <c r="A75" s="42" t="s">
        <v>47</v>
      </c>
      <c r="B75" s="46">
        <f>SUM(B71:B74)</f>
        <v>0</v>
      </c>
      <c r="C75" s="43" t="s">
        <v>41</v>
      </c>
      <c r="D75" s="55">
        <v>20</v>
      </c>
      <c r="E75" s="56">
        <v>50</v>
      </c>
    </row>
    <row r="76" spans="1:6" ht="12.75">
      <c r="A76" s="26"/>
      <c r="B76" s="33"/>
      <c r="C76" s="27"/>
      <c r="D76" s="28"/>
      <c r="E76" s="29"/>
      <c r="F76" s="29"/>
    </row>
    <row r="77" ht="12.75">
      <c r="B77" s="70"/>
    </row>
    <row r="78" spans="1:5" ht="12.75">
      <c r="A78" s="31" t="s">
        <v>24</v>
      </c>
      <c r="B78" s="34"/>
      <c r="C78" s="13"/>
      <c r="D78" s="599" t="s">
        <v>36</v>
      </c>
      <c r="E78" s="600"/>
    </row>
    <row r="79" spans="1:6" ht="14.25">
      <c r="A79" s="36" t="s">
        <v>107</v>
      </c>
      <c r="B79" s="71">
        <f>B80+B81</f>
        <v>21.103034467836306</v>
      </c>
      <c r="C79" s="38" t="s">
        <v>41</v>
      </c>
      <c r="D79" s="44">
        <v>14.5</v>
      </c>
      <c r="E79" s="45">
        <v>33</v>
      </c>
      <c r="F79" t="s">
        <v>52</v>
      </c>
    </row>
    <row r="80" spans="1:6" ht="15.75">
      <c r="A80" s="5" t="s">
        <v>19</v>
      </c>
      <c r="B80" s="72">
        <f>(B106+B107)/2</f>
        <v>17.603034467836306</v>
      </c>
      <c r="C80" s="7" t="s">
        <v>30</v>
      </c>
      <c r="D80" s="44">
        <v>11.5</v>
      </c>
      <c r="E80" s="45">
        <v>22</v>
      </c>
      <c r="F80" t="s">
        <v>52</v>
      </c>
    </row>
    <row r="81" spans="1:6" ht="15.75">
      <c r="A81" s="5" t="s">
        <v>20</v>
      </c>
      <c r="B81" s="59">
        <f>'Dateneingabe und Ergebnisse'!F37</f>
        <v>3.5</v>
      </c>
      <c r="C81" s="7" t="s">
        <v>30</v>
      </c>
      <c r="D81" s="44">
        <v>1.5</v>
      </c>
      <c r="E81" s="45">
        <v>4.5</v>
      </c>
      <c r="F81" t="s">
        <v>52</v>
      </c>
    </row>
    <row r="82" spans="1:6" ht="14.25">
      <c r="A82" s="37" t="s">
        <v>108</v>
      </c>
      <c r="B82" s="71">
        <f>B83+B84+B85</f>
        <v>2.0581485785269713</v>
      </c>
      <c r="C82" s="38" t="s">
        <v>41</v>
      </c>
      <c r="D82" s="44">
        <v>2</v>
      </c>
      <c r="E82" s="45">
        <v>7</v>
      </c>
      <c r="F82" t="s">
        <v>52</v>
      </c>
    </row>
    <row r="83" spans="1:6" ht="15.75">
      <c r="A83" s="5" t="s">
        <v>38</v>
      </c>
      <c r="B83" s="129">
        <v>0</v>
      </c>
      <c r="C83" s="7" t="s">
        <v>30</v>
      </c>
      <c r="D83" s="44">
        <v>0.5</v>
      </c>
      <c r="E83" s="45">
        <v>1</v>
      </c>
      <c r="F83" t="s">
        <v>52</v>
      </c>
    </row>
    <row r="84" spans="1:6" ht="15.75">
      <c r="A84" s="5" t="s">
        <v>39</v>
      </c>
      <c r="B84" s="59">
        <v>0</v>
      </c>
      <c r="C84" s="7" t="s">
        <v>30</v>
      </c>
      <c r="D84" s="44">
        <v>1</v>
      </c>
      <c r="E84" s="45">
        <v>2.5</v>
      </c>
      <c r="F84" t="s">
        <v>52</v>
      </c>
    </row>
    <row r="85" spans="1:6" ht="15.75">
      <c r="A85" s="5" t="s">
        <v>40</v>
      </c>
      <c r="B85" s="59">
        <f>B92</f>
        <v>2.0581485785269713</v>
      </c>
      <c r="C85" s="7" t="s">
        <v>30</v>
      </c>
      <c r="D85" s="44">
        <v>0.5</v>
      </c>
      <c r="E85" s="45">
        <v>3.5</v>
      </c>
      <c r="F85" t="s">
        <v>52</v>
      </c>
    </row>
    <row r="86" spans="1:6" ht="12.75">
      <c r="A86" s="110"/>
      <c r="B86" s="115"/>
      <c r="C86" s="53"/>
      <c r="D86" s="111"/>
      <c r="E86" s="82"/>
      <c r="F86" s="82"/>
    </row>
    <row r="87" spans="1:6" ht="12.75">
      <c r="A87" s="112"/>
      <c r="B87" s="60"/>
      <c r="E87" s="82"/>
      <c r="F87" s="82"/>
    </row>
    <row r="88" spans="2:6" ht="12.75">
      <c r="B88" s="60"/>
      <c r="E88" s="82"/>
      <c r="F88" s="82"/>
    </row>
    <row r="89" spans="1:6" ht="12.75">
      <c r="A89" s="31" t="s">
        <v>138</v>
      </c>
      <c r="B89" s="60"/>
      <c r="E89" s="113" t="s">
        <v>36</v>
      </c>
      <c r="F89" s="82"/>
    </row>
    <row r="90" spans="1:5" ht="12.75">
      <c r="A90" s="116" t="s">
        <v>139</v>
      </c>
      <c r="B90" s="119">
        <v>1</v>
      </c>
      <c r="C90" s="7" t="s">
        <v>133</v>
      </c>
      <c r="D90" s="44">
        <v>1</v>
      </c>
      <c r="E90" s="114">
        <v>1.2</v>
      </c>
    </row>
    <row r="91" spans="1:5" ht="12.75">
      <c r="A91" s="116" t="s">
        <v>139</v>
      </c>
      <c r="B91" s="117">
        <f>B43*B90</f>
        <v>17.480166009407153</v>
      </c>
      <c r="C91" s="7" t="s">
        <v>1</v>
      </c>
      <c r="D91" s="82"/>
      <c r="E91" s="82"/>
    </row>
    <row r="92" spans="1:5" ht="15.75">
      <c r="A92" s="116" t="s">
        <v>139</v>
      </c>
      <c r="B92" s="118">
        <f>B91*365/B3</f>
        <v>2.0581485785269713</v>
      </c>
      <c r="C92" s="7" t="s">
        <v>30</v>
      </c>
      <c r="D92" s="82"/>
      <c r="E92" s="82"/>
    </row>
    <row r="93" spans="1:5" ht="12.75">
      <c r="A93" s="127"/>
      <c r="B93" s="128"/>
      <c r="C93" s="53"/>
      <c r="D93" s="82"/>
      <c r="E93" s="82"/>
    </row>
    <row r="94" spans="1:6" ht="12.75">
      <c r="A94" s="11" t="s">
        <v>28</v>
      </c>
      <c r="B94" s="61"/>
      <c r="C94" s="13"/>
      <c r="D94" s="12"/>
      <c r="E94" s="599" t="s">
        <v>36</v>
      </c>
      <c r="F94" s="600"/>
    </row>
    <row r="95" spans="1:6" ht="25.5">
      <c r="A95" s="4" t="s">
        <v>43</v>
      </c>
      <c r="B95" s="74">
        <f>((B80+B81)/365*B3)/(B8*B7*10^3/10^6)</f>
        <v>0.4818044399049385</v>
      </c>
      <c r="C95" s="21" t="s">
        <v>31</v>
      </c>
      <c r="D95" s="25"/>
      <c r="E95" s="44">
        <v>0.3</v>
      </c>
      <c r="F95" s="45">
        <v>0.6</v>
      </c>
    </row>
    <row r="96" spans="1:6" ht="12.75">
      <c r="A96" s="52"/>
      <c r="B96" s="62"/>
      <c r="C96" s="53"/>
      <c r="D96" s="14"/>
      <c r="E96" s="54"/>
      <c r="F96" s="54"/>
    </row>
    <row r="97" ht="12.75">
      <c r="B97" s="62"/>
    </row>
    <row r="98" spans="1:4" ht="12.75" customHeight="1">
      <c r="A98" s="11" t="s">
        <v>29</v>
      </c>
      <c r="B98" s="61"/>
      <c r="C98" s="13"/>
      <c r="D98" s="12"/>
    </row>
    <row r="99" spans="1:5" ht="12.75" customHeight="1">
      <c r="A99" s="116" t="s">
        <v>215</v>
      </c>
      <c r="B99" s="68">
        <f>0.56+(0.15*$B$35*(1.072^($B$6-15))/(1+0.17*$B$35*(1.072^($B$6-15))))</f>
        <v>1.2440662413935928</v>
      </c>
      <c r="C99" s="15" t="s">
        <v>111</v>
      </c>
      <c r="D99" s="25"/>
      <c r="E99" s="29" t="s">
        <v>214</v>
      </c>
    </row>
    <row r="100" spans="1:5" ht="12.75">
      <c r="A100" s="3" t="s">
        <v>27</v>
      </c>
      <c r="B100" s="73">
        <f>$B$99*$B$9*$B$3*$B$4/10^6</f>
        <v>231.39632089920823</v>
      </c>
      <c r="C100" s="15" t="s">
        <v>6</v>
      </c>
      <c r="D100" s="50"/>
      <c r="E100" s="29" t="s">
        <v>214</v>
      </c>
    </row>
    <row r="101" spans="1:5" ht="12.75">
      <c r="A101" s="3" t="s">
        <v>22</v>
      </c>
      <c r="B101" s="68">
        <f>B100/(B8*B7*10^3/10^6)</f>
        <v>0.6220331206967963</v>
      </c>
      <c r="C101" s="15" t="s">
        <v>12</v>
      </c>
      <c r="D101" s="50"/>
      <c r="E101" s="29"/>
    </row>
    <row r="102" spans="1:5" ht="12.75">
      <c r="A102" s="3" t="s">
        <v>25</v>
      </c>
      <c r="B102" s="69">
        <f>(B10*B7*10^3/10^6)-(B15*B7*10^3/10^6)-(B46*B24)</f>
        <v>19.88352719717785</v>
      </c>
      <c r="C102" s="15" t="s">
        <v>6</v>
      </c>
      <c r="D102" s="50"/>
      <c r="E102" s="29"/>
    </row>
    <row r="103" spans="1:5" ht="12.75">
      <c r="A103" s="3" t="s">
        <v>26</v>
      </c>
      <c r="B103" s="73">
        <f>B100+B102*1.7+B17*B7*10^3/10^6*4.56</f>
        <v>292.0567171344106</v>
      </c>
      <c r="C103" s="15" t="s">
        <v>6</v>
      </c>
      <c r="D103" s="50"/>
      <c r="E103" s="203" t="s">
        <v>282</v>
      </c>
    </row>
    <row r="104" spans="1:5" ht="12.75">
      <c r="A104" s="3" t="s">
        <v>18</v>
      </c>
      <c r="B104" s="69">
        <f>B103/B108</f>
        <v>194.70447808960705</v>
      </c>
      <c r="C104" s="15" t="s">
        <v>1</v>
      </c>
      <c r="D104" s="80"/>
      <c r="E104" s="30"/>
    </row>
    <row r="105" spans="1:5" ht="12.75">
      <c r="A105" s="3" t="s">
        <v>17</v>
      </c>
      <c r="B105" s="69">
        <f>B103/B109</f>
        <v>104.30597040514664</v>
      </c>
      <c r="C105" s="15" t="s">
        <v>1</v>
      </c>
      <c r="D105" s="80"/>
      <c r="E105" s="29"/>
    </row>
    <row r="106" spans="1:6" ht="15.75">
      <c r="A106" s="3" t="s">
        <v>18</v>
      </c>
      <c r="B106" s="69">
        <f>B103*365/(B108*B3)</f>
        <v>22.92488209764728</v>
      </c>
      <c r="C106" s="21" t="s">
        <v>30</v>
      </c>
      <c r="D106" s="81"/>
      <c r="E106" s="29"/>
      <c r="F106" s="41"/>
    </row>
    <row r="107" spans="1:6" ht="15.75">
      <c r="A107" s="3" t="s">
        <v>17</v>
      </c>
      <c r="B107" s="69">
        <f>B103*365/(B109*B3)</f>
        <v>12.281186838025329</v>
      </c>
      <c r="C107" s="21" t="s">
        <v>30</v>
      </c>
      <c r="D107" s="81"/>
      <c r="E107" s="29"/>
      <c r="F107" s="41"/>
    </row>
    <row r="108" spans="1:5" ht="12.75">
      <c r="A108" s="3" t="s">
        <v>70</v>
      </c>
      <c r="B108" s="83">
        <v>1.5</v>
      </c>
      <c r="C108" s="15" t="s">
        <v>51</v>
      </c>
      <c r="D108" s="80"/>
      <c r="E108"/>
    </row>
    <row r="109" spans="1:6" ht="12.75">
      <c r="A109" s="3" t="s">
        <v>71</v>
      </c>
      <c r="B109" s="83">
        <v>2.8</v>
      </c>
      <c r="C109" s="15" t="s">
        <v>51</v>
      </c>
      <c r="D109" s="84"/>
      <c r="E109" s="23"/>
      <c r="F109" s="23"/>
    </row>
    <row r="111" ht="12.75">
      <c r="A111" s="40" t="s">
        <v>226</v>
      </c>
    </row>
    <row r="112" spans="1:4" ht="12.75">
      <c r="A112" s="3" t="s">
        <v>228</v>
      </c>
      <c r="B112" s="153">
        <f>B35*B124</f>
        <v>5619.863228841018</v>
      </c>
      <c r="C112" s="152" t="s">
        <v>229</v>
      </c>
      <c r="D112" s="50"/>
    </row>
    <row r="113" spans="1:4" ht="12.75">
      <c r="A113" s="3" t="s">
        <v>227</v>
      </c>
      <c r="B113" s="153">
        <f>B112/B114</f>
        <v>1605.6752082402909</v>
      </c>
      <c r="C113" s="152" t="s">
        <v>232</v>
      </c>
      <c r="D113" s="50"/>
    </row>
    <row r="114" spans="1:4" ht="12.75">
      <c r="A114" s="3" t="s">
        <v>230</v>
      </c>
      <c r="B114" s="137">
        <f>'Dateneingabe und Ergebnisse'!F9</f>
        <v>3.5</v>
      </c>
      <c r="C114" s="152" t="s">
        <v>231</v>
      </c>
      <c r="D114" s="50"/>
    </row>
    <row r="115" spans="1:4" ht="12.75">
      <c r="A115" s="3" t="s">
        <v>233</v>
      </c>
      <c r="B115" s="151">
        <v>0.35</v>
      </c>
      <c r="C115" s="154"/>
      <c r="D115" s="50"/>
    </row>
    <row r="116" spans="1:4" ht="12.75">
      <c r="A116" s="3" t="s">
        <v>234</v>
      </c>
      <c r="B116" s="153">
        <f>B115*B113</f>
        <v>561.9863228841018</v>
      </c>
      <c r="C116" s="152" t="s">
        <v>232</v>
      </c>
      <c r="D116" s="50"/>
    </row>
    <row r="117" spans="1:4" ht="12.75">
      <c r="A117" s="3" t="s">
        <v>235</v>
      </c>
      <c r="B117" s="153">
        <f>B113*(1-B115)</f>
        <v>1043.688885356189</v>
      </c>
      <c r="C117" s="152" t="s">
        <v>232</v>
      </c>
      <c r="D117" s="50"/>
    </row>
    <row r="120" spans="1:6" ht="12.75">
      <c r="A120" s="40" t="s">
        <v>532</v>
      </c>
      <c r="B120" s="40"/>
      <c r="C120" s="14"/>
      <c r="D120" s="12" t="s">
        <v>36</v>
      </c>
      <c r="E120" s="12"/>
      <c r="F120" s="12"/>
    </row>
    <row r="121" spans="1:5" ht="12.75">
      <c r="A121" s="3" t="s">
        <v>270</v>
      </c>
      <c r="B121" s="79">
        <f>B21</f>
        <v>1</v>
      </c>
      <c r="C121" s="66" t="s">
        <v>2</v>
      </c>
      <c r="E121"/>
    </row>
    <row r="122" spans="1:5" ht="12.75">
      <c r="A122" s="3" t="s">
        <v>61</v>
      </c>
      <c r="B122" s="79">
        <f>B22</f>
        <v>58</v>
      </c>
      <c r="C122" s="66" t="s">
        <v>2</v>
      </c>
      <c r="E122"/>
    </row>
    <row r="123" spans="1:7" ht="12.75">
      <c r="A123" s="3" t="s">
        <v>57</v>
      </c>
      <c r="B123" s="67">
        <f>$B$124/($B$21/100)/1000</f>
        <v>22.47945291536407</v>
      </c>
      <c r="C123" s="66" t="s">
        <v>0</v>
      </c>
      <c r="D123" t="s">
        <v>80</v>
      </c>
      <c r="E123"/>
      <c r="G123" t="s">
        <v>85</v>
      </c>
    </row>
    <row r="124" spans="1:5" ht="12.75">
      <c r="A124" s="3" t="s">
        <v>57</v>
      </c>
      <c r="B124" s="67">
        <f>$B$9*$B$4*'Dateneingabe und Ergebnisse'!$F$5/10^6*$B$26</f>
        <v>224.79452915364072</v>
      </c>
      <c r="C124" s="66" t="s">
        <v>60</v>
      </c>
      <c r="E124"/>
    </row>
    <row r="125" spans="1:7" ht="12.75">
      <c r="A125" s="3" t="s">
        <v>84</v>
      </c>
      <c r="B125" s="67">
        <f>$E$13*'Dateneingabe und Ergebnisse'!$F$5/($B$9*$B$4*'Dateneingabe und Ergebnisse'!$F$5/10^6)</f>
        <v>1.1666666666666667</v>
      </c>
      <c r="C125" s="66" t="s">
        <v>106</v>
      </c>
      <c r="E125"/>
      <c r="G125" t="s">
        <v>85</v>
      </c>
    </row>
    <row r="126" spans="1:7" ht="12.75">
      <c r="A126" s="3" t="s">
        <v>87</v>
      </c>
      <c r="B126" s="67">
        <f>0.6*($B$25+1)-(0.072*0.6*(1.072^($B$6-15)))/(1/$B$35+0.08*(1.072^(10-15)))</f>
        <v>0.936643871473503</v>
      </c>
      <c r="C126" s="66" t="s">
        <v>88</v>
      </c>
      <c r="D126" t="s">
        <v>112</v>
      </c>
      <c r="E126"/>
      <c r="G126" t="s">
        <v>85</v>
      </c>
    </row>
  </sheetData>
  <sheetProtection password="CA63" sheet="1" objects="1" scenarios="1" selectLockedCells="1" selectUnlockedCells="1"/>
  <mergeCells count="4">
    <mergeCell ref="D64:E64"/>
    <mergeCell ref="D78:E78"/>
    <mergeCell ref="E94:F94"/>
    <mergeCell ref="D56:E56"/>
  </mergeCells>
  <printOptions/>
  <pageMargins left="0.37" right="0.31" top="1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15" zoomScalePageLayoutView="0" workbookViewId="0" topLeftCell="J1">
      <selection activeCell="A10" sqref="A1:I16384"/>
    </sheetView>
  </sheetViews>
  <sheetFormatPr defaultColWidth="0" defaultRowHeight="12.75"/>
  <cols>
    <col min="1" max="1" width="34.57421875" style="0" hidden="1" customWidth="1"/>
    <col min="2" max="2" width="9.8515625" style="0" hidden="1" customWidth="1"/>
    <col min="3" max="3" width="14.57421875" style="1" hidden="1" customWidth="1"/>
    <col min="4" max="4" width="9.140625" style="0" hidden="1" customWidth="1"/>
    <col min="5" max="5" width="11.00390625" style="1" hidden="1" customWidth="1"/>
    <col min="6" max="6" width="7.7109375" style="0" hidden="1" customWidth="1"/>
    <col min="7" max="7" width="13.8515625" style="0" hidden="1" customWidth="1"/>
    <col min="8" max="8" width="7.00390625" style="0" hidden="1" customWidth="1"/>
    <col min="9" max="9" width="12.8515625" style="0" hidden="1" customWidth="1"/>
    <col min="10" max="10" width="11.421875" style="0" customWidth="1"/>
    <col min="11" max="11" width="18.140625" style="0" hidden="1" customWidth="1"/>
  </cols>
  <sheetData>
    <row r="1" spans="1:7" ht="27" thickBot="1">
      <c r="A1" s="99" t="s">
        <v>224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'Variante A'!B3</f>
        <v>3100</v>
      </c>
      <c r="C3" s="85" t="s">
        <v>13</v>
      </c>
      <c r="D3" s="12"/>
      <c r="E3"/>
    </row>
    <row r="4" spans="1:5" ht="15.75" customHeight="1">
      <c r="A4" s="9" t="s">
        <v>7</v>
      </c>
      <c r="B4" s="88">
        <f>'Variante A'!B4</f>
        <v>200</v>
      </c>
      <c r="C4" s="76" t="s">
        <v>73</v>
      </c>
      <c r="D4" s="57"/>
      <c r="E4"/>
    </row>
    <row r="5" spans="1:5" ht="15.75" customHeight="1">
      <c r="A5" s="9" t="s">
        <v>170</v>
      </c>
      <c r="B5" s="147">
        <f>'Variante A'!B5</f>
        <v>25</v>
      </c>
      <c r="C5" s="76" t="s">
        <v>169</v>
      </c>
      <c r="D5" s="57"/>
      <c r="E5"/>
    </row>
    <row r="6" spans="1:5" ht="15.75" customHeight="1">
      <c r="A6" s="9" t="s">
        <v>109</v>
      </c>
      <c r="B6" s="86">
        <f>'Variante A'!B6</f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620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94</v>
      </c>
      <c r="B20" s="40"/>
      <c r="C20" s="14"/>
      <c r="D20" s="12" t="s">
        <v>36</v>
      </c>
      <c r="E20" s="12"/>
      <c r="F20" s="12"/>
    </row>
    <row r="21" spans="1:5" ht="12.75">
      <c r="A21" s="3" t="s">
        <v>62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63</v>
      </c>
      <c r="C22" s="66" t="s">
        <v>2</v>
      </c>
      <c r="D22" t="s">
        <v>162</v>
      </c>
      <c r="E22"/>
    </row>
    <row r="23" spans="1:7" ht="12.75">
      <c r="A23" s="3" t="s">
        <v>57</v>
      </c>
      <c r="B23" s="67">
        <f>$B$24/($B$21/100)/1000</f>
        <v>18.88472974710419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188.84729747104188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1.01530805091958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14.647499999999994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0.058589999999999975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9.449999999999996</v>
      </c>
      <c r="C34" s="66" t="s">
        <v>53</v>
      </c>
      <c r="E34"/>
    </row>
    <row r="35" spans="1:7" ht="12.75">
      <c r="A35" s="3" t="s">
        <v>81</v>
      </c>
      <c r="B35" s="78">
        <f>'Dateneingabe und Ergebnisse'!I8</f>
        <v>15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1.86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2.169999999999999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203.49479747104186</v>
      </c>
      <c r="C42" s="66" t="s">
        <v>60</v>
      </c>
      <c r="E42"/>
    </row>
    <row r="43" spans="1:5" ht="12.75">
      <c r="A43" s="3" t="s">
        <v>101</v>
      </c>
      <c r="B43" s="67">
        <f>B31+B23</f>
        <v>18.943319747104187</v>
      </c>
      <c r="C43" s="66" t="s">
        <v>0</v>
      </c>
      <c r="E43"/>
    </row>
    <row r="44" spans="1:5" ht="12.75">
      <c r="A44" s="10" t="s">
        <v>128</v>
      </c>
      <c r="B44" s="67">
        <f>(B42/1000)/B43*100</f>
        <v>1.0742298614378274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168.94279231759407</v>
      </c>
      <c r="C47" s="66" t="s">
        <v>6</v>
      </c>
      <c r="E47"/>
    </row>
    <row r="48" spans="1:5" ht="12.75">
      <c r="A48" s="3" t="s">
        <v>69</v>
      </c>
      <c r="B48" s="67">
        <f>B22/100*B24</f>
        <v>118.97379740675639</v>
      </c>
      <c r="C48" s="66" t="s">
        <v>6</v>
      </c>
      <c r="E48"/>
    </row>
    <row r="49" ht="12.75">
      <c r="H49" s="12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3100</v>
      </c>
      <c r="C52" s="63" t="s">
        <v>9</v>
      </c>
      <c r="D52" s="51"/>
      <c r="E52" s="12"/>
    </row>
    <row r="53" spans="1:5" ht="15.75">
      <c r="A53" s="3" t="s">
        <v>33</v>
      </c>
      <c r="B53" s="18">
        <f>B9*B7*10^3/(0.06*10^6)</f>
        <v>3100</v>
      </c>
      <c r="C53" s="63" t="s">
        <v>9</v>
      </c>
      <c r="D53" s="51"/>
      <c r="E53" s="12"/>
    </row>
    <row r="54" spans="1:5" ht="15.75">
      <c r="A54" s="3" t="s">
        <v>35</v>
      </c>
      <c r="B54" s="18">
        <f>(B10*B7*10^3/10^6)/0.011</f>
        <v>3100.0000000000005</v>
      </c>
      <c r="C54" s="63" t="s">
        <v>9</v>
      </c>
      <c r="D54" s="51"/>
      <c r="E54" s="12"/>
    </row>
    <row r="55" spans="1:5" ht="15.75">
      <c r="A55" s="3" t="s">
        <v>42</v>
      </c>
      <c r="B55" s="18">
        <f>B11*B7*10^3/(0.0065*10^6)</f>
        <v>3100</v>
      </c>
      <c r="C55" s="63" t="s">
        <v>9</v>
      </c>
      <c r="D55" s="51"/>
      <c r="E55" s="12"/>
    </row>
    <row r="56" spans="1:5" ht="15.75">
      <c r="A56" s="3" t="s">
        <v>34</v>
      </c>
      <c r="B56" s="18">
        <f>B12*B7*10^3/(0.0017*10^6)</f>
        <v>3100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60.9184830551748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38.378644324760124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67">
        <f>'Dateneingabe und Ergebnisse'!I28</f>
        <v>9</v>
      </c>
      <c r="C65" s="66" t="s">
        <v>281</v>
      </c>
      <c r="D65" s="107">
        <v>10</v>
      </c>
      <c r="E65" s="108">
        <v>15</v>
      </c>
    </row>
    <row r="66" spans="1:5" ht="15.75" customHeight="1">
      <c r="A66" s="3" t="s">
        <v>131</v>
      </c>
      <c r="B66" s="67">
        <f>B65*'Dateneingabe und Ergebnisse'!F6/1000</f>
        <v>27.9</v>
      </c>
      <c r="C66" s="66" t="s">
        <v>0</v>
      </c>
      <c r="D66" s="109"/>
      <c r="E66" s="109"/>
    </row>
    <row r="67" spans="1:5" ht="15.75" customHeight="1">
      <c r="A67" s="3" t="s">
        <v>132</v>
      </c>
      <c r="B67" s="67">
        <f>'Dateneingabe und Ergebnisse'!I29</f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67">
        <f>B67*B66</f>
        <v>167.39999999999998</v>
      </c>
      <c r="C68" s="66" t="s">
        <v>1</v>
      </c>
      <c r="D68" s="109"/>
      <c r="E68" s="109"/>
    </row>
    <row r="69" spans="1:5" ht="15.75" customHeight="1">
      <c r="A69" s="3" t="s">
        <v>136</v>
      </c>
      <c r="B69" s="67">
        <f>'Dateneingabe und Ergebnisse'!I30</f>
        <v>36</v>
      </c>
      <c r="C69" s="66" t="s">
        <v>137</v>
      </c>
      <c r="D69" s="109"/>
      <c r="E69" s="109"/>
    </row>
    <row r="70" spans="1:5" ht="15.75" customHeight="1">
      <c r="A70" s="3" t="s">
        <v>157</v>
      </c>
      <c r="B70" s="67">
        <f>'Dateneingabe und Ergebnisse'!I31</f>
        <v>55</v>
      </c>
      <c r="C70" s="66" t="s">
        <v>137</v>
      </c>
      <c r="D70" s="109"/>
      <c r="E70" s="109"/>
    </row>
    <row r="71" spans="1:5" ht="15.75" customHeight="1">
      <c r="A71" s="3" t="s">
        <v>135</v>
      </c>
      <c r="B71" s="67">
        <f>B68*B69/100</f>
        <v>60.263999999999996</v>
      </c>
      <c r="C71" s="66" t="s">
        <v>1</v>
      </c>
      <c r="D71" s="109"/>
      <c r="E71" s="109"/>
    </row>
    <row r="72" spans="1:5" ht="15.75" customHeight="1">
      <c r="A72" s="3" t="s">
        <v>158</v>
      </c>
      <c r="B72" s="67">
        <f>B68*(B70/100)</f>
        <v>92.07</v>
      </c>
      <c r="C72" s="66" t="s">
        <v>1</v>
      </c>
      <c r="D72" s="109"/>
      <c r="E72" s="109"/>
    </row>
    <row r="73" spans="1:5" ht="15.75" customHeight="1">
      <c r="A73" s="3" t="s">
        <v>213</v>
      </c>
      <c r="B73" s="67">
        <f>'Dateneingabe und Ergebnisse'!I32</f>
        <v>60</v>
      </c>
      <c r="C73" s="66" t="s">
        <v>2</v>
      </c>
      <c r="D73" s="109"/>
      <c r="E73" s="109"/>
    </row>
    <row r="74" spans="1:5" ht="15.75">
      <c r="A74" s="4" t="s">
        <v>44</v>
      </c>
      <c r="B74" s="142">
        <f>B71*365/B3</f>
        <v>7.095599999999999</v>
      </c>
      <c r="C74" s="7" t="s">
        <v>30</v>
      </c>
      <c r="D74" s="55">
        <v>10</v>
      </c>
      <c r="E74" s="56">
        <v>20</v>
      </c>
    </row>
    <row r="75" spans="1:5" ht="15.75">
      <c r="A75" s="20" t="s">
        <v>23</v>
      </c>
      <c r="B75" s="142">
        <v>0</v>
      </c>
      <c r="C75" s="7" t="s">
        <v>30</v>
      </c>
      <c r="D75" s="55" t="s">
        <v>12</v>
      </c>
      <c r="E75" s="56" t="s">
        <v>12</v>
      </c>
    </row>
    <row r="76" spans="1:5" ht="15.75">
      <c r="A76" s="20" t="s">
        <v>45</v>
      </c>
      <c r="B76" s="142">
        <v>0</v>
      </c>
      <c r="C76" s="7" t="s">
        <v>30</v>
      </c>
      <c r="D76" s="55">
        <v>10</v>
      </c>
      <c r="E76" s="56">
        <v>50</v>
      </c>
    </row>
    <row r="77" spans="1:5" ht="15.75">
      <c r="A77" s="20" t="s">
        <v>46</v>
      </c>
      <c r="B77" s="142">
        <v>0</v>
      </c>
      <c r="C77" s="7" t="s">
        <v>30</v>
      </c>
      <c r="D77" s="55">
        <v>0</v>
      </c>
      <c r="E77" s="56">
        <v>20</v>
      </c>
    </row>
    <row r="78" spans="1:5" ht="14.25">
      <c r="A78" s="42" t="s">
        <v>47</v>
      </c>
      <c r="B78" s="46">
        <f>SUM(B74:B77)</f>
        <v>7.095599999999999</v>
      </c>
      <c r="C78" s="43" t="s">
        <v>41</v>
      </c>
      <c r="D78" s="55">
        <v>20</v>
      </c>
      <c r="E78" s="56">
        <v>50</v>
      </c>
    </row>
    <row r="79" spans="1:6" ht="12.75">
      <c r="A79" s="26"/>
      <c r="B79" s="33"/>
      <c r="C79" s="27"/>
      <c r="D79" s="28"/>
      <c r="E79" s="29"/>
      <c r="F79" s="29"/>
    </row>
    <row r="80" ht="12.75">
      <c r="B80" s="70"/>
    </row>
    <row r="81" spans="1:5" ht="12.75">
      <c r="A81" s="31" t="s">
        <v>24</v>
      </c>
      <c r="B81" s="34"/>
      <c r="C81" s="13"/>
      <c r="D81" s="599" t="s">
        <v>36</v>
      </c>
      <c r="E81" s="600"/>
    </row>
    <row r="82" spans="1:6" ht="14.25">
      <c r="A82" s="36" t="s">
        <v>107</v>
      </c>
      <c r="B82" s="71">
        <f>B83+B84</f>
        <v>19.05883451992439</v>
      </c>
      <c r="C82" s="38" t="s">
        <v>41</v>
      </c>
      <c r="D82" s="44">
        <v>14.5</v>
      </c>
      <c r="E82" s="45">
        <v>33</v>
      </c>
      <c r="F82" t="s">
        <v>52</v>
      </c>
    </row>
    <row r="83" spans="1:6" ht="15.75">
      <c r="A83" s="5" t="s">
        <v>19</v>
      </c>
      <c r="B83" s="72">
        <f>(B116+B117)/2</f>
        <v>16.55883451992439</v>
      </c>
      <c r="C83" s="7" t="s">
        <v>30</v>
      </c>
      <c r="D83" s="44">
        <v>11.5</v>
      </c>
      <c r="E83" s="45">
        <v>22</v>
      </c>
      <c r="F83" t="s">
        <v>52</v>
      </c>
    </row>
    <row r="84" spans="1:6" ht="15.75">
      <c r="A84" s="5" t="s">
        <v>20</v>
      </c>
      <c r="B84" s="59">
        <f>'Dateneingabe und Ergebnisse'!I37</f>
        <v>2.5</v>
      </c>
      <c r="C84" s="7" t="s">
        <v>30</v>
      </c>
      <c r="D84" s="44">
        <v>1.5</v>
      </c>
      <c r="E84" s="45">
        <v>4.5</v>
      </c>
      <c r="F84" t="s">
        <v>52</v>
      </c>
    </row>
    <row r="85" spans="1:6" ht="14.25">
      <c r="A85" s="37" t="s">
        <v>108</v>
      </c>
      <c r="B85" s="71">
        <f>B86+B87+B88</f>
        <v>3.107992643800423</v>
      </c>
      <c r="C85" s="38" t="s">
        <v>41</v>
      </c>
      <c r="D85" s="44">
        <v>2</v>
      </c>
      <c r="E85" s="45">
        <v>7</v>
      </c>
      <c r="F85" t="s">
        <v>52</v>
      </c>
    </row>
    <row r="86" spans="1:6" ht="15.75">
      <c r="A86" s="5" t="s">
        <v>38</v>
      </c>
      <c r="B86" s="202">
        <f>B102</f>
        <v>0.957992643800423</v>
      </c>
      <c r="C86" s="7" t="s">
        <v>30</v>
      </c>
      <c r="D86" s="44">
        <v>0.5</v>
      </c>
      <c r="E86" s="45">
        <v>1</v>
      </c>
      <c r="F86" t="s">
        <v>52</v>
      </c>
    </row>
    <row r="87" spans="1:6" ht="15.75">
      <c r="A87" s="5" t="s">
        <v>39</v>
      </c>
      <c r="B87" s="129">
        <f>'Dateneingabe und Ergebnisse'!I40</f>
        <v>1.2</v>
      </c>
      <c r="C87" s="7" t="s">
        <v>30</v>
      </c>
      <c r="D87" s="44">
        <v>1</v>
      </c>
      <c r="E87" s="45">
        <v>2.5</v>
      </c>
      <c r="F87" t="s">
        <v>52</v>
      </c>
    </row>
    <row r="88" spans="1:6" ht="15.75">
      <c r="A88" s="5" t="s">
        <v>40</v>
      </c>
      <c r="B88" s="129">
        <f>'Dateneingabe und Ergebnisse'!I41</f>
        <v>0.95</v>
      </c>
      <c r="C88" s="7" t="s">
        <v>30</v>
      </c>
      <c r="D88" s="44">
        <v>0.5</v>
      </c>
      <c r="E88" s="45">
        <v>3.5</v>
      </c>
      <c r="F88" t="s">
        <v>52</v>
      </c>
    </row>
    <row r="89" spans="1:6" ht="12.75">
      <c r="A89" s="110"/>
      <c r="B89" s="186"/>
      <c r="C89" s="53"/>
      <c r="D89" s="111"/>
      <c r="E89" s="82"/>
      <c r="F89" s="82"/>
    </row>
    <row r="90" spans="1:6" ht="12.75">
      <c r="A90" s="112"/>
      <c r="B90" s="60"/>
      <c r="E90" s="82"/>
      <c r="F90" s="82"/>
    </row>
    <row r="91" spans="2:6" ht="12.75">
      <c r="B91" s="60"/>
      <c r="E91" s="82"/>
      <c r="F91" s="82"/>
    </row>
    <row r="92" spans="1:6" ht="12.75">
      <c r="A92" s="31" t="s">
        <v>138</v>
      </c>
      <c r="B92" s="60"/>
      <c r="E92" s="113" t="s">
        <v>36</v>
      </c>
      <c r="F92" s="82"/>
    </row>
    <row r="93" spans="1:5" ht="12.75">
      <c r="A93" s="116" t="s">
        <v>139</v>
      </c>
      <c r="B93" s="119">
        <v>0</v>
      </c>
      <c r="C93" s="7" t="s">
        <v>133</v>
      </c>
      <c r="D93" s="44">
        <v>1</v>
      </c>
      <c r="E93" s="114">
        <v>1.2</v>
      </c>
    </row>
    <row r="94" spans="1:5" ht="12.75">
      <c r="A94" s="116" t="s">
        <v>139</v>
      </c>
      <c r="B94" s="117">
        <f>B43*B93</f>
        <v>0</v>
      </c>
      <c r="C94" s="7" t="s">
        <v>1</v>
      </c>
      <c r="D94" s="82"/>
      <c r="E94" s="82"/>
    </row>
    <row r="95" spans="1:5" ht="15.75">
      <c r="A95" s="116" t="s">
        <v>139</v>
      </c>
      <c r="B95" s="118">
        <f>B94*365/B3</f>
        <v>0</v>
      </c>
      <c r="C95" s="7" t="s">
        <v>30</v>
      </c>
      <c r="D95" s="82"/>
      <c r="E95" s="82"/>
    </row>
    <row r="96" spans="1:5" ht="14.25" customHeight="1">
      <c r="A96" s="127"/>
      <c r="B96" s="128"/>
      <c r="C96" s="53"/>
      <c r="D96" s="82"/>
      <c r="E96" s="82"/>
    </row>
    <row r="97" spans="1:5" ht="12.75">
      <c r="A97" s="31" t="s">
        <v>156</v>
      </c>
      <c r="B97" s="60"/>
      <c r="D97" s="82"/>
      <c r="E97" s="82"/>
    </row>
    <row r="98" spans="1:5" ht="12.75">
      <c r="A98" s="136" t="s">
        <v>206</v>
      </c>
      <c r="B98" s="137">
        <v>100</v>
      </c>
      <c r="C98" s="7" t="s">
        <v>201</v>
      </c>
      <c r="D98" s="134">
        <v>95</v>
      </c>
      <c r="E98" s="132">
        <v>120</v>
      </c>
    </row>
    <row r="99" spans="1:5" ht="12.75">
      <c r="A99" s="136" t="s">
        <v>207</v>
      </c>
      <c r="B99" s="138">
        <f>('Dateneingabe und Ergebnisse'!I19*'Dateneingabe und Ergebnisse'!I21/100)/B98*1000</f>
        <v>2.034093969713227</v>
      </c>
      <c r="C99" s="7" t="s">
        <v>202</v>
      </c>
      <c r="D99" s="82"/>
      <c r="E99" s="82"/>
    </row>
    <row r="100" spans="1:5" ht="12.75">
      <c r="A100" s="136" t="s">
        <v>208</v>
      </c>
      <c r="B100" s="137">
        <v>4</v>
      </c>
      <c r="C100" s="7" t="s">
        <v>203</v>
      </c>
      <c r="E100"/>
    </row>
    <row r="101" spans="1:5" ht="12.75">
      <c r="A101" s="136" t="s">
        <v>209</v>
      </c>
      <c r="B101" s="138">
        <f>B100*B99/24</f>
        <v>0.33901566161887114</v>
      </c>
      <c r="C101" s="7" t="s">
        <v>204</v>
      </c>
      <c r="E101"/>
    </row>
    <row r="102" spans="1:5" ht="12.75">
      <c r="A102" s="136" t="s">
        <v>143</v>
      </c>
      <c r="B102" s="138">
        <f>B101*24*365/'Variante A'!B3</f>
        <v>0.957992643800423</v>
      </c>
      <c r="C102" s="7" t="s">
        <v>205</v>
      </c>
      <c r="D102" s="135">
        <v>0.5</v>
      </c>
      <c r="E102" s="45">
        <v>1</v>
      </c>
    </row>
    <row r="103" spans="1:5" ht="12.75">
      <c r="A103" s="127"/>
      <c r="B103" s="128"/>
      <c r="C103" s="53"/>
      <c r="E103"/>
    </row>
    <row r="104" spans="1:6" ht="12.75">
      <c r="A104" s="11" t="s">
        <v>28</v>
      </c>
      <c r="B104" s="61"/>
      <c r="C104" s="13"/>
      <c r="D104" s="12"/>
      <c r="E104" s="599" t="s">
        <v>36</v>
      </c>
      <c r="F104" s="600"/>
    </row>
    <row r="105" spans="1:6" ht="25.5">
      <c r="A105" s="4" t="s">
        <v>43</v>
      </c>
      <c r="B105" s="74">
        <f>((B83+B84)/365*B3)/(B8*B7*10^3/10^6)</f>
        <v>0.4351332082174518</v>
      </c>
      <c r="C105" s="21" t="s">
        <v>31</v>
      </c>
      <c r="D105" s="25"/>
      <c r="E105" s="44">
        <v>0.3</v>
      </c>
      <c r="F105" s="45">
        <v>0.6</v>
      </c>
    </row>
    <row r="106" spans="1:6" ht="12.75">
      <c r="A106" s="52"/>
      <c r="B106" s="62"/>
      <c r="C106" s="53"/>
      <c r="D106" s="14"/>
      <c r="E106" s="54"/>
      <c r="F106" s="54"/>
    </row>
    <row r="107" ht="12.75">
      <c r="B107" s="62"/>
    </row>
    <row r="108" spans="1:4" ht="12.75" customHeight="1">
      <c r="A108" s="11" t="s">
        <v>29</v>
      </c>
      <c r="B108" s="61"/>
      <c r="C108" s="13"/>
      <c r="D108" s="12"/>
    </row>
    <row r="109" spans="1:5" ht="12.75" customHeight="1">
      <c r="A109" s="3" t="s">
        <v>127</v>
      </c>
      <c r="B109" s="68">
        <f>0.56+(0.15*$B$35*(1.072^($B$6-15))/(1+0.17*$B$35*(1.072^($B$6-15))))</f>
        <v>1.1549350800071658</v>
      </c>
      <c r="C109" s="15" t="s">
        <v>111</v>
      </c>
      <c r="D109" s="50"/>
      <c r="E109" s="29" t="s">
        <v>214</v>
      </c>
    </row>
    <row r="110" spans="1:5" ht="12.75">
      <c r="A110" s="3" t="s">
        <v>27</v>
      </c>
      <c r="B110" s="73">
        <f>$B$109*$B$9*$B$3*$B$4/10^6</f>
        <v>214.81792488133286</v>
      </c>
      <c r="C110" s="15" t="s">
        <v>6</v>
      </c>
      <c r="D110" s="50"/>
      <c r="E110" s="29" t="s">
        <v>214</v>
      </c>
    </row>
    <row r="111" spans="1:5" ht="12.75">
      <c r="A111" s="3" t="s">
        <v>22</v>
      </c>
      <c r="B111" s="68">
        <f>B110/(B8*B7*10^3/10^6)</f>
        <v>0.5774675400035829</v>
      </c>
      <c r="C111" s="15" t="s">
        <v>12</v>
      </c>
      <c r="D111" s="50"/>
      <c r="E111" s="29"/>
    </row>
    <row r="112" spans="1:6" ht="12.75">
      <c r="A112" s="3" t="s">
        <v>25</v>
      </c>
      <c r="B112" s="69">
        <f>(B10*B7*10^3/10^6)-(B15*B7*10^3/10^6)-(B46*B24)</f>
        <v>19.444581075868744</v>
      </c>
      <c r="C112" s="15" t="s">
        <v>6</v>
      </c>
      <c r="D112" s="50"/>
      <c r="E112" s="204" t="s">
        <v>283</v>
      </c>
      <c r="F112" t="s">
        <v>284</v>
      </c>
    </row>
    <row r="113" spans="1:6" ht="12.75">
      <c r="A113" s="3" t="s">
        <v>26</v>
      </c>
      <c r="B113" s="73">
        <f>B110+B112*1.7+B17*B7*10^3/10^6*4.56</f>
        <v>274.7321127103097</v>
      </c>
      <c r="C113" s="15" t="s">
        <v>6</v>
      </c>
      <c r="D113" s="50"/>
      <c r="E113" s="30" t="s">
        <v>283</v>
      </c>
      <c r="F113" t="s">
        <v>284</v>
      </c>
    </row>
    <row r="114" spans="1:5" ht="12.75">
      <c r="A114" s="3" t="s">
        <v>18</v>
      </c>
      <c r="B114" s="69">
        <f>B113/B118</f>
        <v>183.15474180687315</v>
      </c>
      <c r="C114" s="15" t="s">
        <v>1</v>
      </c>
      <c r="D114" s="80"/>
      <c r="E114" s="30"/>
    </row>
    <row r="115" spans="1:5" ht="12.75">
      <c r="A115" s="3" t="s">
        <v>17</v>
      </c>
      <c r="B115" s="69">
        <f>B113/B119</f>
        <v>98.11861168225347</v>
      </c>
      <c r="C115" s="15" t="s">
        <v>1</v>
      </c>
      <c r="D115" s="80"/>
      <c r="E115" s="29"/>
    </row>
    <row r="116" spans="1:6" ht="15.75">
      <c r="A116" s="3" t="s">
        <v>18</v>
      </c>
      <c r="B116" s="69">
        <f>B113*365/(B118*B3)</f>
        <v>21.564993793389903</v>
      </c>
      <c r="C116" s="21" t="s">
        <v>30</v>
      </c>
      <c r="D116" s="81"/>
      <c r="E116" s="29"/>
      <c r="F116" s="41"/>
    </row>
    <row r="117" spans="1:6" ht="15.75">
      <c r="A117" s="3" t="s">
        <v>17</v>
      </c>
      <c r="B117" s="69">
        <f>B113*365/(B119*B3)</f>
        <v>11.552675246458875</v>
      </c>
      <c r="C117" s="21" t="s">
        <v>30</v>
      </c>
      <c r="D117" s="81"/>
      <c r="E117" s="29"/>
      <c r="F117" s="41"/>
    </row>
    <row r="118" spans="1:5" ht="12.75">
      <c r="A118" s="3" t="s">
        <v>70</v>
      </c>
      <c r="B118" s="150">
        <v>1.5</v>
      </c>
      <c r="C118" s="15" t="s">
        <v>51</v>
      </c>
      <c r="D118" s="80"/>
      <c r="E118"/>
    </row>
    <row r="119" spans="1:6" ht="12.75">
      <c r="A119" s="3" t="s">
        <v>71</v>
      </c>
      <c r="B119" s="150">
        <v>2.8</v>
      </c>
      <c r="C119" s="15" t="s">
        <v>51</v>
      </c>
      <c r="D119" s="84"/>
      <c r="E119" s="23"/>
      <c r="F119" s="23"/>
    </row>
    <row r="121" ht="12.75">
      <c r="A121" s="40" t="s">
        <v>226</v>
      </c>
    </row>
    <row r="122" spans="1:4" ht="12.75">
      <c r="A122" s="3" t="s">
        <v>228</v>
      </c>
      <c r="B122" s="153">
        <f>B35*B134</f>
        <v>3655.108983310488</v>
      </c>
      <c r="C122" s="152" t="s">
        <v>229</v>
      </c>
      <c r="D122" s="50"/>
    </row>
    <row r="123" spans="1:4" ht="12.75">
      <c r="A123" s="3" t="s">
        <v>227</v>
      </c>
      <c r="B123" s="153">
        <f>B122/B124</f>
        <v>1044.316852374425</v>
      </c>
      <c r="C123" s="152" t="s">
        <v>232</v>
      </c>
      <c r="D123" s="50"/>
    </row>
    <row r="124" spans="1:4" ht="12.75">
      <c r="A124" s="3" t="s">
        <v>230</v>
      </c>
      <c r="B124" s="137">
        <f>'Dateneingabe und Ergebnisse'!I9</f>
        <v>3.5</v>
      </c>
      <c r="C124" s="152" t="s">
        <v>231</v>
      </c>
      <c r="D124" s="50"/>
    </row>
    <row r="125" spans="1:4" ht="12.75">
      <c r="A125" s="3" t="s">
        <v>233</v>
      </c>
      <c r="B125" s="151">
        <v>0.35</v>
      </c>
      <c r="C125" s="154"/>
      <c r="D125" s="50"/>
    </row>
    <row r="126" spans="1:4" ht="12.75">
      <c r="A126" s="3" t="s">
        <v>234</v>
      </c>
      <c r="B126" s="153">
        <f>B125*B123</f>
        <v>365.51089833104874</v>
      </c>
      <c r="C126" s="152" t="s">
        <v>232</v>
      </c>
      <c r="D126" s="50"/>
    </row>
    <row r="127" spans="1:4" ht="12.75">
      <c r="A127" s="3" t="s">
        <v>235</v>
      </c>
      <c r="B127" s="153">
        <f>B123*(1-B125)</f>
        <v>678.8059540433763</v>
      </c>
      <c r="C127" s="152" t="s">
        <v>232</v>
      </c>
      <c r="D127" s="50"/>
    </row>
    <row r="130" spans="1:6" ht="12.75">
      <c r="A130" s="40" t="s">
        <v>94</v>
      </c>
      <c r="B130" s="40"/>
      <c r="C130" s="14"/>
      <c r="D130" s="12" t="s">
        <v>36</v>
      </c>
      <c r="E130" s="12"/>
      <c r="F130" s="12"/>
    </row>
    <row r="131" spans="1:5" ht="12.75">
      <c r="A131" s="3" t="s">
        <v>62</v>
      </c>
      <c r="B131" s="79">
        <f>B21</f>
        <v>1</v>
      </c>
      <c r="C131" s="66" t="s">
        <v>2</v>
      </c>
      <c r="E131"/>
    </row>
    <row r="132" spans="1:5" ht="12.75">
      <c r="A132" s="3" t="s">
        <v>61</v>
      </c>
      <c r="B132" s="79">
        <f>B22</f>
        <v>63</v>
      </c>
      <c r="C132" s="66" t="s">
        <v>2</v>
      </c>
      <c r="D132" t="s">
        <v>162</v>
      </c>
      <c r="E132"/>
    </row>
    <row r="133" spans="1:7" ht="12.75">
      <c r="A133" s="3" t="s">
        <v>57</v>
      </c>
      <c r="B133" s="67">
        <f>$B$24/($B$21/100)/1000</f>
        <v>18.88472974710419</v>
      </c>
      <c r="C133" s="66" t="s">
        <v>0</v>
      </c>
      <c r="D133" t="s">
        <v>80</v>
      </c>
      <c r="E133"/>
      <c r="G133" t="s">
        <v>85</v>
      </c>
    </row>
    <row r="134" spans="1:5" ht="12.75">
      <c r="A134" s="3" t="s">
        <v>57</v>
      </c>
      <c r="B134" s="67">
        <f>$B$9*$B$4*'Dateneingabe und Ergebnisse'!$F$5/10^6*$B$26</f>
        <v>243.6739322206992</v>
      </c>
      <c r="C134" s="66" t="s">
        <v>60</v>
      </c>
      <c r="E134"/>
    </row>
    <row r="135" spans="1:7" ht="12.75">
      <c r="A135" s="3" t="s">
        <v>84</v>
      </c>
      <c r="B135" s="67">
        <f>$E$13*'Dateneingabe und Ergebnisse'!$F$5/($B$9*$B$4*'Dateneingabe und Ergebnisse'!$F$5/10^6)</f>
        <v>1.1666666666666667</v>
      </c>
      <c r="C135" s="66" t="s">
        <v>106</v>
      </c>
      <c r="E135"/>
      <c r="G135" t="s">
        <v>85</v>
      </c>
    </row>
    <row r="136" spans="1:7" ht="12.75">
      <c r="A136" s="3" t="s">
        <v>87</v>
      </c>
      <c r="B136" s="67">
        <f>0.6*($B$25+1)-(0.072*0.6*(1.072^($B$6-15)))/(1/$B$35+0.08*(1.072^(10-15)))</f>
        <v>1.01530805091958</v>
      </c>
      <c r="C136" s="66" t="s">
        <v>88</v>
      </c>
      <c r="D136" t="s">
        <v>112</v>
      </c>
      <c r="E136"/>
      <c r="G136" t="s">
        <v>85</v>
      </c>
    </row>
  </sheetData>
  <sheetProtection password="CA63" sheet="1" selectLockedCells="1" selectUnlockedCells="1"/>
  <mergeCells count="4">
    <mergeCell ref="D81:E81"/>
    <mergeCell ref="E104:F104"/>
    <mergeCell ref="D56:E56"/>
    <mergeCell ref="D64:E64"/>
  </mergeCells>
  <printOptions/>
  <pageMargins left="0.75" right="0.75" top="1" bottom="1" header="0.4921259845" footer="0.4921259845"/>
  <pageSetup horizontalDpi="600" verticalDpi="600" orientation="portrait" paperSize="9" scale="71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K1">
      <selection activeCell="O12" sqref="O12"/>
    </sheetView>
  </sheetViews>
  <sheetFormatPr defaultColWidth="11.421875" defaultRowHeight="12.75"/>
  <cols>
    <col min="1" max="1" width="33.28125" style="0" hidden="1" customWidth="1"/>
    <col min="2" max="3" width="0" style="0" hidden="1" customWidth="1"/>
    <col min="4" max="4" width="13.28125" style="0" hidden="1" customWidth="1"/>
    <col min="5" max="5" width="34.28125" style="0" hidden="1" customWidth="1"/>
    <col min="6" max="8" width="0" style="0" hidden="1" customWidth="1"/>
    <col min="9" max="9" width="39.8515625" style="0" hidden="1" customWidth="1"/>
    <col min="10" max="10" width="0" style="0" hidden="1" customWidth="1"/>
  </cols>
  <sheetData>
    <row r="1" spans="1:10" ht="26.25">
      <c r="A1" s="99" t="s">
        <v>548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7" ht="14.25" customHeight="1">
      <c r="A2" t="s">
        <v>212</v>
      </c>
      <c r="B2" s="106">
        <f>'Variante A'!B3</f>
        <v>3100</v>
      </c>
      <c r="C2" s="22"/>
      <c r="F2" s="22"/>
      <c r="G2" s="22"/>
    </row>
    <row r="3" spans="1:7" ht="15" customHeight="1">
      <c r="A3" t="s">
        <v>211</v>
      </c>
      <c r="B3" s="106">
        <f>'Variante A'!B5</f>
        <v>25</v>
      </c>
      <c r="C3" s="22"/>
      <c r="F3" s="22"/>
      <c r="G3" s="22"/>
    </row>
    <row r="4" spans="1:10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</row>
    <row r="5" spans="1:11" ht="12.75">
      <c r="A5" s="2"/>
      <c r="B5" s="2"/>
      <c r="C5" s="2"/>
      <c r="D5" s="2"/>
      <c r="E5" s="2" t="s">
        <v>165</v>
      </c>
      <c r="F5" s="2"/>
      <c r="G5" s="2"/>
      <c r="H5" s="2"/>
      <c r="I5" s="2" t="s">
        <v>166</v>
      </c>
      <c r="J5" s="101"/>
      <c r="K5" s="101"/>
    </row>
    <row r="6" spans="5:11" ht="12.75">
      <c r="E6" s="123" t="s">
        <v>147</v>
      </c>
      <c r="F6" s="102"/>
      <c r="G6" s="101"/>
      <c r="I6" s="123" t="s">
        <v>147</v>
      </c>
      <c r="J6" s="102"/>
      <c r="K6" s="101"/>
    </row>
    <row r="7" spans="5:11" ht="12.75">
      <c r="E7" s="124" t="s">
        <v>148</v>
      </c>
      <c r="F7" s="102">
        <f>'Variante F 1-2'!B71*365</f>
        <v>21996.359999999997</v>
      </c>
      <c r="G7" s="101"/>
      <c r="I7" s="124" t="s">
        <v>148</v>
      </c>
      <c r="J7" s="102">
        <f>'Variante F 1-2'!B71*365</f>
        <v>21996.359999999997</v>
      </c>
      <c r="K7" s="101"/>
    </row>
    <row r="8" spans="5:11" ht="12.75">
      <c r="E8" s="124" t="s">
        <v>149</v>
      </c>
      <c r="F8" s="102">
        <f>'Variante F 1-2'!B72*365*('Variante F 1-2'!B73/100)</f>
        <v>20163.329999999998</v>
      </c>
      <c r="G8" s="101"/>
      <c r="I8" s="124" t="s">
        <v>149</v>
      </c>
      <c r="J8" s="102">
        <f>'Variante F 1-2'!B72*365*'Variante F 1-2'!B73/100</f>
        <v>20163.329999999998</v>
      </c>
      <c r="K8" s="101"/>
    </row>
    <row r="9" spans="5:10" ht="12.75">
      <c r="E9" s="124" t="s">
        <v>150</v>
      </c>
      <c r="F9" s="125">
        <f>'Dateneingabe und Ergebnisse'!I33*100</f>
        <v>14.000000000000002</v>
      </c>
      <c r="G9" s="101"/>
      <c r="I9" s="124" t="s">
        <v>150</v>
      </c>
      <c r="J9" s="125">
        <f>F9</f>
        <v>14.000000000000002</v>
      </c>
    </row>
    <row r="10" spans="5:10" ht="12.75">
      <c r="E10" s="124" t="s">
        <v>151</v>
      </c>
      <c r="F10" s="125">
        <f>'Dateneingabe und Ergebnisse'!I34*100</f>
        <v>4.7</v>
      </c>
      <c r="I10" s="124" t="s">
        <v>151</v>
      </c>
      <c r="J10" s="125">
        <f>F10</f>
        <v>4.7</v>
      </c>
    </row>
    <row r="11" spans="5:10" ht="12.75">
      <c r="E11" s="124" t="s">
        <v>152</v>
      </c>
      <c r="F11" s="103">
        <f>F9*F7</f>
        <v>307949.04</v>
      </c>
      <c r="I11" s="124" t="s">
        <v>152</v>
      </c>
      <c r="J11" s="103">
        <f>J9*J7</f>
        <v>307949.04</v>
      </c>
    </row>
    <row r="12" spans="5:10" ht="12.75">
      <c r="E12" s="124" t="s">
        <v>153</v>
      </c>
      <c r="F12" s="103">
        <f>F8*F10</f>
        <v>94767.651</v>
      </c>
      <c r="I12" s="124" t="s">
        <v>153</v>
      </c>
      <c r="J12" s="103">
        <f>J8*J10</f>
        <v>94767.651</v>
      </c>
    </row>
    <row r="13" spans="5:10" ht="12" customHeight="1">
      <c r="E13" s="124"/>
      <c r="F13" s="103"/>
      <c r="I13" s="124"/>
      <c r="J13" s="103"/>
    </row>
    <row r="14" spans="5:10" ht="12.75">
      <c r="E14" s="101" t="s">
        <v>154</v>
      </c>
      <c r="F14" s="102">
        <f>(F12+F11)/100*(-1)</f>
        <v>-4027.16691</v>
      </c>
      <c r="I14" s="101" t="s">
        <v>154</v>
      </c>
      <c r="J14" s="102">
        <f>(J12+J11)/100*(-1)</f>
        <v>-4027.16691</v>
      </c>
    </row>
    <row r="15" spans="5:6" ht="12.75">
      <c r="E15" s="101"/>
      <c r="F15" s="101"/>
    </row>
    <row r="16" spans="5:6" ht="12.75">
      <c r="E16" s="101"/>
      <c r="F16" s="101"/>
    </row>
    <row r="17" spans="5:6" ht="12.75">
      <c r="E17" s="101"/>
      <c r="F17" s="101"/>
    </row>
    <row r="18" spans="5:6" ht="12.75">
      <c r="E18" s="101"/>
      <c r="F18" s="104"/>
    </row>
    <row r="19" spans="5:6" ht="12.75">
      <c r="E19" s="101"/>
      <c r="F19" s="104"/>
    </row>
    <row r="20" ht="12.75">
      <c r="F20" s="12"/>
    </row>
    <row r="21" ht="12.75">
      <c r="E21" s="101"/>
    </row>
    <row r="23" ht="12.75">
      <c r="E23" s="101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H1">
      <selection activeCell="G1" sqref="F1:G16384"/>
    </sheetView>
  </sheetViews>
  <sheetFormatPr defaultColWidth="11.421875" defaultRowHeight="12.75"/>
  <cols>
    <col min="1" max="1" width="37.140625" style="0" hidden="1" customWidth="1"/>
    <col min="2" max="2" width="34.00390625" style="0" hidden="1" customWidth="1"/>
    <col min="3" max="3" width="35.140625" style="0" hidden="1" customWidth="1"/>
    <col min="4" max="4" width="7.140625" style="0" hidden="1" customWidth="1"/>
    <col min="5" max="5" width="35.140625" style="0" hidden="1" customWidth="1"/>
    <col min="6" max="7" width="0" style="0" hidden="1" customWidth="1"/>
  </cols>
  <sheetData>
    <row r="1" spans="1:8" ht="26.25">
      <c r="A1" s="99" t="s">
        <v>236</v>
      </c>
      <c r="B1" s="99"/>
      <c r="C1" s="100"/>
      <c r="D1" s="100"/>
      <c r="E1" s="100"/>
      <c r="F1" s="100"/>
      <c r="G1" s="100"/>
      <c r="H1" s="22"/>
    </row>
    <row r="2" spans="1:9" ht="14.25" customHeight="1">
      <c r="A2" t="s">
        <v>212</v>
      </c>
      <c r="C2" s="106">
        <f>'Variante A'!B3</f>
        <v>3100</v>
      </c>
      <c r="D2" s="22"/>
      <c r="E2" s="6">
        <f>C2-('Dateneingabe und Ergebnisse'!F11)/'Dateneingabe und Ergebnisse'!F23*10000</f>
        <v>3100</v>
      </c>
      <c r="G2" s="22"/>
      <c r="H2" s="22"/>
      <c r="I2" s="22"/>
    </row>
    <row r="3" spans="1:9" ht="15" customHeight="1">
      <c r="A3" t="s">
        <v>211</v>
      </c>
      <c r="C3" s="106">
        <f>'Variante A'!B5</f>
        <v>25</v>
      </c>
      <c r="D3" s="22"/>
      <c r="F3">
        <v>10000</v>
      </c>
      <c r="G3" s="22"/>
      <c r="H3" s="22"/>
      <c r="I3" s="22"/>
    </row>
    <row r="4" spans="1:9" ht="15" customHeight="1">
      <c r="A4" s="99"/>
      <c r="B4" s="99"/>
      <c r="C4" s="100"/>
      <c r="D4" s="100"/>
      <c r="E4" s="100"/>
      <c r="F4" s="145">
        <v>1300</v>
      </c>
      <c r="G4" s="100"/>
      <c r="H4" s="22"/>
      <c r="I4" s="22"/>
    </row>
    <row r="5" spans="1:9" ht="15" customHeight="1">
      <c r="A5" s="155" t="s">
        <v>240</v>
      </c>
      <c r="B5" s="155"/>
      <c r="C5" s="518">
        <f>'Dateneingabe und Ergebnisse'!F10</f>
        <v>0</v>
      </c>
      <c r="D5" s="155" t="s">
        <v>232</v>
      </c>
      <c r="E5" s="155"/>
      <c r="F5" s="155"/>
      <c r="G5" s="22"/>
      <c r="H5" s="22"/>
      <c r="I5" s="22"/>
    </row>
    <row r="6" spans="1:9" ht="15" customHeight="1">
      <c r="A6" s="155" t="s">
        <v>243</v>
      </c>
      <c r="B6" s="155"/>
      <c r="C6" s="159">
        <f>'Variante A'!B113</f>
        <v>1605.6752082402909</v>
      </c>
      <c r="D6" s="155" t="s">
        <v>232</v>
      </c>
      <c r="E6" s="155"/>
      <c r="F6" s="155"/>
      <c r="G6" s="22"/>
      <c r="H6" s="22"/>
      <c r="I6" s="22"/>
    </row>
    <row r="7" spans="1:9" ht="15" customHeight="1">
      <c r="A7" s="155" t="s">
        <v>241</v>
      </c>
      <c r="B7" s="155"/>
      <c r="C7" s="159">
        <f>IF(C6&gt;C5,C6-C5,0)</f>
        <v>1605.6752082402909</v>
      </c>
      <c r="D7" s="155" t="s">
        <v>232</v>
      </c>
      <c r="E7" s="155"/>
      <c r="F7" s="155"/>
      <c r="G7" s="22"/>
      <c r="H7" s="22"/>
      <c r="I7" s="22"/>
    </row>
    <row r="8" spans="1:9" ht="15" customHeight="1">
      <c r="A8" s="155"/>
      <c r="B8" s="155"/>
      <c r="C8" s="162">
        <f>IF(C5&gt;'Variante F 1-2'!B123,E37,E38)</f>
        <v>0</v>
      </c>
      <c r="D8" s="155"/>
      <c r="E8" s="155"/>
      <c r="F8" s="155"/>
      <c r="G8" s="22"/>
      <c r="H8" s="22"/>
      <c r="I8" s="22"/>
    </row>
    <row r="9" spans="1:9" ht="15" customHeight="1">
      <c r="A9" s="155"/>
      <c r="B9" s="155"/>
      <c r="C9" s="162"/>
      <c r="D9" s="155"/>
      <c r="E9" s="155"/>
      <c r="F9" s="155"/>
      <c r="G9" s="22"/>
      <c r="H9" s="22"/>
      <c r="I9" s="22"/>
    </row>
    <row r="10" spans="1:9" ht="12.75">
      <c r="A10" s="160"/>
      <c r="B10" s="48" t="s">
        <v>279</v>
      </c>
      <c r="C10" s="197">
        <f>IF(C7=0,0,C25+C28+C26*C7+C29*C7)</f>
        <v>946313.9496273493</v>
      </c>
      <c r="D10" s="48" t="s">
        <v>237</v>
      </c>
      <c r="I10" s="22"/>
    </row>
    <row r="11" spans="1:9" ht="12.75">
      <c r="A11" s="160"/>
      <c r="B11" s="48" t="s">
        <v>262</v>
      </c>
      <c r="C11" s="163">
        <f>IF(C7=0,0,C10/C7)</f>
        <v>589.3557705636148</v>
      </c>
      <c r="D11" s="48" t="s">
        <v>239</v>
      </c>
      <c r="I11" s="22"/>
    </row>
    <row r="12" spans="1:9" ht="12.75">
      <c r="A12" s="160"/>
      <c r="B12" s="160"/>
      <c r="C12" s="160"/>
      <c r="D12" s="160"/>
      <c r="I12" s="22"/>
    </row>
    <row r="13" spans="1:9" ht="12.75">
      <c r="A13" s="160"/>
      <c r="B13" s="160"/>
      <c r="C13" s="160"/>
      <c r="D13" s="160"/>
      <c r="I13" s="22"/>
    </row>
    <row r="14" spans="2:5" ht="12.75">
      <c r="B14" s="6"/>
      <c r="E14" s="157"/>
    </row>
    <row r="15" spans="1:2" ht="14.25" customHeight="1">
      <c r="A15" t="s">
        <v>251</v>
      </c>
      <c r="B15" s="6"/>
    </row>
    <row r="16" spans="1:2" ht="14.25" customHeight="1">
      <c r="A16" t="s">
        <v>556</v>
      </c>
      <c r="B16" s="6"/>
    </row>
    <row r="17" spans="1:3" ht="14.25" customHeight="1">
      <c r="A17" t="s">
        <v>258</v>
      </c>
      <c r="B17" s="102">
        <v>185500</v>
      </c>
      <c r="C17" t="s">
        <v>237</v>
      </c>
    </row>
    <row r="18" ht="14.25" customHeight="1">
      <c r="B18" s="102"/>
    </row>
    <row r="19" spans="1:2" ht="14.25" customHeight="1">
      <c r="A19" t="s">
        <v>553</v>
      </c>
      <c r="B19" s="102"/>
    </row>
    <row r="20" spans="1:3" ht="14.25" customHeight="1">
      <c r="A20" t="s">
        <v>259</v>
      </c>
      <c r="B20" s="102">
        <v>125000</v>
      </c>
      <c r="C20" t="s">
        <v>237</v>
      </c>
    </row>
    <row r="21" ht="14.25" customHeight="1">
      <c r="B21" s="102"/>
    </row>
    <row r="22" spans="2:4" ht="14.25" customHeight="1">
      <c r="B22" t="s">
        <v>253</v>
      </c>
      <c r="C22" s="126">
        <v>70</v>
      </c>
      <c r="D22" t="s">
        <v>2</v>
      </c>
    </row>
    <row r="23" spans="2:4" ht="14.25" customHeight="1">
      <c r="B23" t="s">
        <v>254</v>
      </c>
      <c r="C23" s="126">
        <v>30</v>
      </c>
      <c r="D23" t="s">
        <v>2</v>
      </c>
    </row>
    <row r="24" ht="14.25" customHeight="1">
      <c r="C24" s="103"/>
    </row>
    <row r="25" spans="2:4" ht="12.75">
      <c r="B25" t="s">
        <v>252</v>
      </c>
      <c r="C25" s="102">
        <f>B17*(100-C22)/100</f>
        <v>55650</v>
      </c>
      <c r="D25" t="s">
        <v>237</v>
      </c>
    </row>
    <row r="26" spans="2:4" ht="12.75">
      <c r="B26" t="s">
        <v>253</v>
      </c>
      <c r="C26" s="102">
        <f>B17*C22/100/C31</f>
        <v>454.02097902097904</v>
      </c>
      <c r="D26" t="s">
        <v>239</v>
      </c>
    </row>
    <row r="27" ht="12.75">
      <c r="C27" s="102"/>
    </row>
    <row r="28" spans="2:5" ht="12.75">
      <c r="B28" t="s">
        <v>255</v>
      </c>
      <c r="C28" s="102">
        <f>B20*(100-C23)/100</f>
        <v>87500</v>
      </c>
      <c r="D28" t="s">
        <v>237</v>
      </c>
      <c r="E28">
        <f>C28+C29*C7</f>
        <v>161653.71959237795</v>
      </c>
    </row>
    <row r="29" spans="2:5" ht="12.75">
      <c r="B29" t="s">
        <v>254</v>
      </c>
      <c r="C29" s="102">
        <f>B20*C23/100/C32</f>
        <v>46.18226600985221</v>
      </c>
      <c r="D29" t="s">
        <v>239</v>
      </c>
      <c r="E29" t="s">
        <v>468</v>
      </c>
    </row>
    <row r="30" ht="14.25" customHeight="1">
      <c r="C30" s="102"/>
    </row>
    <row r="31" spans="2:3" ht="14.25" customHeight="1">
      <c r="B31" t="s">
        <v>554</v>
      </c>
      <c r="C31" s="102">
        <v>286</v>
      </c>
    </row>
    <row r="32" spans="2:3" ht="14.25" customHeight="1">
      <c r="B32" t="s">
        <v>555</v>
      </c>
      <c r="C32" s="102">
        <v>812</v>
      </c>
    </row>
    <row r="33" spans="1:9" ht="12.75">
      <c r="A33" s="164"/>
      <c r="B33" s="164"/>
      <c r="C33" s="165"/>
      <c r="D33" s="164"/>
      <c r="E33" s="146"/>
      <c r="F33" s="146"/>
      <c r="G33" s="146"/>
      <c r="H33" s="22"/>
      <c r="I33" s="22"/>
    </row>
    <row r="34" spans="1:9" ht="12.75">
      <c r="A34" s="19" t="s">
        <v>244</v>
      </c>
      <c r="B34" s="528" t="s">
        <v>246</v>
      </c>
      <c r="C34" s="529">
        <v>50</v>
      </c>
      <c r="D34" s="530" t="s">
        <v>245</v>
      </c>
      <c r="H34" s="22"/>
      <c r="I34" s="22"/>
    </row>
    <row r="35" spans="1:9" ht="12.75">
      <c r="A35" s="19"/>
      <c r="B35" s="528" t="s">
        <v>247</v>
      </c>
      <c r="C35" s="528" t="s">
        <v>248</v>
      </c>
      <c r="D35" s="530" t="s">
        <v>245</v>
      </c>
      <c r="E35">
        <f>IF(E2&gt;F4,C34-(C34-C36)/(F3-F4)*E2,C34)</f>
        <v>46.4367816091954</v>
      </c>
      <c r="H35" s="22"/>
      <c r="I35" s="22"/>
    </row>
    <row r="36" spans="1:9" ht="12.75">
      <c r="A36" s="19"/>
      <c r="B36" s="528" t="s">
        <v>238</v>
      </c>
      <c r="C36" s="19">
        <v>40</v>
      </c>
      <c r="D36" s="19" t="s">
        <v>245</v>
      </c>
      <c r="H36" s="22"/>
      <c r="I36" s="22"/>
    </row>
    <row r="37" spans="5:9" ht="12.75">
      <c r="E37" s="156"/>
      <c r="H37" s="22"/>
      <c r="I37" s="22"/>
    </row>
    <row r="38" spans="5:9" ht="12.75">
      <c r="E38" s="157"/>
      <c r="H38" s="22"/>
      <c r="I38" s="22"/>
    </row>
    <row r="39" spans="8:9" ht="12.75">
      <c r="H39" s="22"/>
      <c r="I39" s="22"/>
    </row>
    <row r="40" spans="1:9" ht="12.75">
      <c r="A40" t="s">
        <v>244</v>
      </c>
      <c r="C40" s="120">
        <f>IF(C36&gt;E35,C36,E35)</f>
        <v>46.4367816091954</v>
      </c>
      <c r="D40" t="s">
        <v>245</v>
      </c>
      <c r="H40" s="22"/>
      <c r="I40" s="22"/>
    </row>
    <row r="41" spans="1:9" ht="12.75">
      <c r="A41" s="158" t="s">
        <v>249</v>
      </c>
      <c r="B41" s="100"/>
      <c r="C41" s="159">
        <f>IF(E2&lt;0,0,C40*E2)</f>
        <v>143954.02298850575</v>
      </c>
      <c r="D41" s="100" t="s">
        <v>237</v>
      </c>
      <c r="E41" s="100"/>
      <c r="F41" s="100"/>
      <c r="G41" s="100"/>
      <c r="H41" s="22"/>
      <c r="I41" s="22"/>
    </row>
    <row r="42" spans="8:9" ht="12.75">
      <c r="H42" s="22"/>
      <c r="I42" s="22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Energiekonzept</dc:title>
  <dc:subject/>
  <dc:creator>Mathias Heschl</dc:creator>
  <cp:keywords/>
  <dc:description/>
  <cp:lastModifiedBy>Heschl Mathias</cp:lastModifiedBy>
  <cp:lastPrinted>2012-10-25T09:12:23Z</cp:lastPrinted>
  <dcterms:created xsi:type="dcterms:W3CDTF">2007-10-03T13:22:06Z</dcterms:created>
  <dcterms:modified xsi:type="dcterms:W3CDTF">2012-10-25T09:50:17Z</dcterms:modified>
  <cp:category/>
  <cp:version/>
  <cp:contentType/>
  <cp:contentStatus/>
</cp:coreProperties>
</file>